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Excel Files\"/>
    </mc:Choice>
  </mc:AlternateContent>
  <xr:revisionPtr revIDLastSave="0" documentId="13_ncr:1_{E7C075EE-5C8F-44BD-B240-FB58A7ACED46}" xr6:coauthVersionLast="47" xr6:coauthVersionMax="47" xr10:uidLastSave="{00000000-0000-0000-0000-000000000000}"/>
  <bookViews>
    <workbookView xWindow="2235" yWindow="1605" windowWidth="17970" windowHeight="13950" activeTab="2" xr2:uid="{00000000-000D-0000-FFFF-FFFF00000000}"/>
  </bookViews>
  <sheets>
    <sheet name="ref" sheetId="11" r:id="rId1"/>
    <sheet name="IPE" sheetId="1" r:id="rId2"/>
    <sheet name="سقف عرشه فولادی (2)" sheetId="12" r:id="rId3"/>
  </sheets>
  <definedNames>
    <definedName name="ipe">IPE!$A$3:$R$28</definedName>
    <definedName name="_xlnm.Print_Area" localSheetId="2">'سقف عرشه فولادی (2)'!$A$1:$M$258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7" i="12" l="1"/>
  <c r="R66" i="12"/>
  <c r="R68" i="12" s="1"/>
  <c r="R65" i="12"/>
  <c r="E58" i="12"/>
  <c r="E253" i="12"/>
  <c r="G253" i="12" s="1"/>
  <c r="E247" i="12"/>
  <c r="H210" i="12"/>
  <c r="E201" i="12"/>
  <c r="E200" i="12"/>
  <c r="E180" i="12"/>
  <c r="E169" i="12"/>
  <c r="E164" i="12"/>
  <c r="E143" i="12"/>
  <c r="G149" i="12" s="1"/>
  <c r="E140" i="12"/>
  <c r="G140" i="12" s="1"/>
  <c r="J85" i="12"/>
  <c r="E168" i="12" s="1"/>
  <c r="I85" i="12"/>
  <c r="E57" i="12" s="1"/>
  <c r="H85" i="12"/>
  <c r="E234" i="12" s="1"/>
  <c r="G85" i="12"/>
  <c r="E99" i="12" s="1"/>
  <c r="F85" i="12"/>
  <c r="E236" i="12" s="1"/>
  <c r="E85" i="12"/>
  <c r="E91" i="12" s="1"/>
  <c r="K92" i="12" s="1"/>
  <c r="E69" i="12"/>
  <c r="D64" i="12"/>
  <c r="E59" i="12"/>
  <c r="E27" i="12"/>
  <c r="E25" i="12"/>
  <c r="E24" i="12"/>
  <c r="E18" i="12"/>
  <c r="E202" i="12" s="1"/>
  <c r="E12" i="12"/>
  <c r="H93" i="12" l="1"/>
  <c r="G187" i="12"/>
  <c r="E65" i="12"/>
  <c r="E213" i="12"/>
  <c r="E216" i="12" s="1"/>
  <c r="E187" i="12"/>
  <c r="E106" i="12"/>
  <c r="E218" i="12"/>
  <c r="E231" i="12"/>
  <c r="E232" i="12" s="1"/>
  <c r="E97" i="12"/>
  <c r="C101" i="12" s="1"/>
  <c r="E149" i="12"/>
  <c r="E210" i="12"/>
  <c r="E107" i="12"/>
  <c r="E220" i="12"/>
  <c r="E64" i="12"/>
  <c r="H26" i="1"/>
  <c r="E100" i="12" l="1"/>
  <c r="C102" i="12" s="1"/>
  <c r="K107" i="12"/>
  <c r="E188" i="12"/>
  <c r="E66" i="12"/>
  <c r="E68" i="12" s="1"/>
  <c r="E70" i="12" s="1"/>
  <c r="E233" i="12"/>
  <c r="E203" i="12"/>
  <c r="E204" i="12" s="1"/>
  <c r="E205" i="12" s="1"/>
  <c r="E189" i="12"/>
  <c r="E192" i="12" s="1"/>
  <c r="E193" i="12" s="1"/>
  <c r="E109" i="12"/>
  <c r="E112" i="12" s="1"/>
  <c r="E115" i="12" s="1"/>
  <c r="E148" i="12"/>
  <c r="E151" i="12" s="1"/>
  <c r="E217" i="12"/>
  <c r="H91" i="12" l="1"/>
  <c r="T64" i="12"/>
  <c r="T66" i="12"/>
  <c r="E71" i="12"/>
  <c r="K233" i="12"/>
  <c r="E238" i="12"/>
  <c r="O233" i="12"/>
  <c r="O217" i="12"/>
  <c r="K217" i="12"/>
  <c r="E222" i="12"/>
  <c r="E116" i="12" l="1"/>
  <c r="E118" i="12" s="1"/>
  <c r="S65" i="12"/>
  <c r="E81" i="12"/>
  <c r="D87" i="12" s="1"/>
  <c r="E239" i="12"/>
  <c r="E235" i="12"/>
  <c r="E237" i="12"/>
  <c r="E223" i="12"/>
  <c r="E219" i="12"/>
  <c r="E221" i="12"/>
  <c r="J87" i="12" l="1"/>
  <c r="E241" i="12"/>
  <c r="E243" i="12" s="1"/>
  <c r="E225" i="12"/>
  <c r="E254" i="12" s="1"/>
  <c r="G254" i="12" s="1"/>
  <c r="E227" i="12" l="1"/>
  <c r="E246" i="12" s="1"/>
  <c r="E24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Alireza</author>
  </authors>
  <commentList>
    <comment ref="E73" authorId="0" shapeId="0" xr:uid="{87F55843-CF64-4CA3-8CF1-39D37FA7DBF1}">
      <text>
        <r>
          <rPr>
            <b/>
            <sz val="9"/>
            <color indexed="81"/>
            <rFont val="Tahoma"/>
            <family val="2"/>
          </rPr>
          <t>Alireza:</t>
        </r>
        <r>
          <rPr>
            <sz val="9"/>
            <color indexed="81"/>
            <rFont val="Tahoma"/>
            <family val="2"/>
          </rPr>
          <t xml:space="preserve">
به علت کامپوزیت بودن تیر، 50 درصد دست بالا میگیریم
یعنی کامپوزیت بودن 50درصد در افزایش مقاومت نقش دارد</t>
        </r>
      </text>
    </comment>
  </commentList>
</comments>
</file>

<file path=xl/sharedStrings.xml><?xml version="1.0" encoding="utf-8"?>
<sst xmlns="http://schemas.openxmlformats.org/spreadsheetml/2006/main" count="386" uniqueCount="249">
  <si>
    <t>h</t>
  </si>
  <si>
    <t>b</t>
  </si>
  <si>
    <t>s</t>
  </si>
  <si>
    <t>t</t>
  </si>
  <si>
    <t>r</t>
  </si>
  <si>
    <t>c</t>
  </si>
  <si>
    <t>h-2c</t>
  </si>
  <si>
    <t>A</t>
  </si>
  <si>
    <t>G</t>
  </si>
  <si>
    <t>mm</t>
  </si>
  <si>
    <t>kg/m</t>
  </si>
  <si>
    <t>cm</t>
  </si>
  <si>
    <t>IPE </t>
  </si>
  <si>
    <t>Wx</t>
  </si>
  <si>
    <t>Wy</t>
  </si>
  <si>
    <t>a1</t>
  </si>
  <si>
    <t>rT</t>
  </si>
  <si>
    <t>cm2</t>
  </si>
  <si>
    <t>cm4</t>
  </si>
  <si>
    <t>cm3</t>
  </si>
  <si>
    <t>Fy</t>
  </si>
  <si>
    <t>E</t>
  </si>
  <si>
    <t>IPE</t>
  </si>
  <si>
    <t>DL</t>
  </si>
  <si>
    <t>LL</t>
  </si>
  <si>
    <t>kg/cm2</t>
  </si>
  <si>
    <t>Ix</t>
  </si>
  <si>
    <t>Iy</t>
  </si>
  <si>
    <t>iy2</t>
  </si>
  <si>
    <t>ix2</t>
  </si>
  <si>
    <t>m</t>
  </si>
  <si>
    <t>Z</t>
  </si>
  <si>
    <t>tc</t>
  </si>
  <si>
    <t>Live Load</t>
  </si>
  <si>
    <t>kg/m2</t>
  </si>
  <si>
    <t>kg/m3</t>
  </si>
  <si>
    <t>WD1</t>
  </si>
  <si>
    <t>WD2</t>
  </si>
  <si>
    <t>WL</t>
  </si>
  <si>
    <t xml:space="preserve"> </t>
  </si>
  <si>
    <t>Wu</t>
  </si>
  <si>
    <t>Vu</t>
  </si>
  <si>
    <t>Mu</t>
  </si>
  <si>
    <t>kg.m</t>
  </si>
  <si>
    <t>kg</t>
  </si>
  <si>
    <t>Mn/Mu</t>
  </si>
  <si>
    <t>cm^3</t>
  </si>
  <si>
    <t>Vn</t>
  </si>
  <si>
    <t>kg.cm</t>
  </si>
  <si>
    <t>ضریب اطمینان</t>
  </si>
  <si>
    <t>تار خنثی در بتن است</t>
  </si>
  <si>
    <t>تار خنثی درمرز فولاد و بتن است</t>
  </si>
  <si>
    <t>تار خنثی در فولاد است</t>
  </si>
  <si>
    <t>قطر برش گیر</t>
  </si>
  <si>
    <t>طول برش گیر</t>
  </si>
  <si>
    <t>h&gt;=4d</t>
  </si>
  <si>
    <t>الزامات برش گیر</t>
  </si>
  <si>
    <t>d&lt;2.5tf</t>
  </si>
  <si>
    <t>Qn</t>
  </si>
  <si>
    <t>Asa</t>
  </si>
  <si>
    <t>Fu</t>
  </si>
  <si>
    <t>Rg</t>
  </si>
  <si>
    <t>Ru</t>
  </si>
  <si>
    <t>Ec</t>
  </si>
  <si>
    <t>&lt;</t>
  </si>
  <si>
    <t>n</t>
  </si>
  <si>
    <t>Mcr</t>
  </si>
  <si>
    <t>kgf.m</t>
  </si>
  <si>
    <t>kgf/m</t>
  </si>
  <si>
    <t>حداقل ضخامت برابر 8 سانتی باید باشد</t>
  </si>
  <si>
    <t>آرماتور های دال حرارتی می باشد</t>
  </si>
  <si>
    <t>Loading Info.</t>
  </si>
  <si>
    <t>Load Combination</t>
  </si>
  <si>
    <t>Analyses Result</t>
  </si>
  <si>
    <t>Shear Control</t>
  </si>
  <si>
    <t>f'c</t>
  </si>
  <si>
    <t>ɣ</t>
  </si>
  <si>
    <t>لنگر وارده بر تیر فولادی براثر بارهای مرده گروه اول</t>
  </si>
  <si>
    <t>ظرفیت خمشی تیر فولادی در تحمل بارهای مرده ی گروه اول</t>
  </si>
  <si>
    <t>Group 1 Loading control</t>
  </si>
  <si>
    <t>Ultimate Disterbution Load</t>
  </si>
  <si>
    <t>Cracked Concrete Moment</t>
  </si>
  <si>
    <t>Shear Stud Design</t>
  </si>
  <si>
    <t>کنترل تیر به شکل کامپوزیت با فرض قرارگیری تار خنثی در مرز بتن و فولاد</t>
  </si>
  <si>
    <t>beam  Prop.</t>
  </si>
  <si>
    <t>Beam Length</t>
  </si>
  <si>
    <t>space of beam</t>
  </si>
  <si>
    <t>مشخصات مقطع انتخابی</t>
  </si>
  <si>
    <t>تنش تسلیم فولادی</t>
  </si>
  <si>
    <t>مدول الاستیسیته فولاد</t>
  </si>
  <si>
    <t>مقاومت فشاری 28 روزه بتن</t>
  </si>
  <si>
    <t>مدول الاستیسته بتن</t>
  </si>
  <si>
    <t>عرض موثر 1</t>
  </si>
  <si>
    <t>عرض موثر 2</t>
  </si>
  <si>
    <t>عرض موثر تیر</t>
  </si>
  <si>
    <t>بار زنده واحد سطح</t>
  </si>
  <si>
    <t>بار مرده واحد سطح</t>
  </si>
  <si>
    <t>Deflection Control (Not Composit )</t>
  </si>
  <si>
    <t>Group 2 Dead Load</t>
  </si>
  <si>
    <t>Group 1 Dead Load [ concrete is wet ]</t>
  </si>
  <si>
    <t>مقدار تنش خمشی ایجاد شده</t>
  </si>
  <si>
    <t>Slab tickness</t>
  </si>
  <si>
    <t>LL Factor</t>
  </si>
  <si>
    <t>DL Factor</t>
  </si>
  <si>
    <t>1.4 DL</t>
  </si>
  <si>
    <r>
      <t>L</t>
    </r>
    <r>
      <rPr>
        <vertAlign val="subscript"/>
        <sz val="9.5"/>
        <color theme="1"/>
        <rFont val="Vazir"/>
        <family val="2"/>
      </rPr>
      <t>b</t>
    </r>
  </si>
  <si>
    <r>
      <t>b</t>
    </r>
    <r>
      <rPr>
        <vertAlign val="subscript"/>
        <sz val="9.5"/>
        <rFont val="Vazir"/>
        <family val="2"/>
      </rPr>
      <t>d</t>
    </r>
  </si>
  <si>
    <r>
      <t>b</t>
    </r>
    <r>
      <rPr>
        <vertAlign val="subscript"/>
        <sz val="9.5"/>
        <rFont val="Vazir"/>
        <family val="2"/>
      </rPr>
      <t>e1</t>
    </r>
  </si>
  <si>
    <t>طول تیر (دهانه مفید تیر اصلی)</t>
  </si>
  <si>
    <r>
      <t>b</t>
    </r>
    <r>
      <rPr>
        <vertAlign val="subscript"/>
        <sz val="9.5"/>
        <rFont val="Vazir"/>
        <family val="2"/>
      </rPr>
      <t>e2</t>
    </r>
  </si>
  <si>
    <t>بار مرده گروه اول</t>
  </si>
  <si>
    <t>بار مرده گروه دوم</t>
  </si>
  <si>
    <t>بار زنده</t>
  </si>
  <si>
    <t>MAX</t>
  </si>
  <si>
    <t>ضریب اطمینان مقطع:</t>
  </si>
  <si>
    <t>&gt;</t>
  </si>
  <si>
    <t>Tension Forces (Steel)</t>
  </si>
  <si>
    <t>Compession Fources (Concrete)</t>
  </si>
  <si>
    <t>محل تار خنثی فاصله ی تار خنثی از مرز</t>
  </si>
  <si>
    <t xml:space="preserve"> PNA Location</t>
  </si>
  <si>
    <r>
      <t>V</t>
    </r>
    <r>
      <rPr>
        <vertAlign val="subscript"/>
        <sz val="9.5"/>
        <color theme="1"/>
        <rFont val="Vazir"/>
        <family val="2"/>
      </rPr>
      <t xml:space="preserve">n   </t>
    </r>
    <r>
      <rPr>
        <sz val="9.5"/>
        <color theme="1"/>
        <rFont val="Vazir"/>
        <family val="2"/>
      </rPr>
      <t>=</t>
    </r>
  </si>
  <si>
    <r>
      <t>M</t>
    </r>
    <r>
      <rPr>
        <vertAlign val="subscript"/>
        <sz val="9.5"/>
        <rFont val="Vazir"/>
        <family val="2"/>
      </rPr>
      <t>u1</t>
    </r>
    <r>
      <rPr>
        <sz val="9.5"/>
        <rFont val="Vazir"/>
        <family val="2"/>
      </rPr>
      <t xml:space="preserve">   =</t>
    </r>
  </si>
  <si>
    <r>
      <t>M</t>
    </r>
    <r>
      <rPr>
        <vertAlign val="subscript"/>
        <sz val="9.5"/>
        <rFont val="Vazir"/>
        <family val="2"/>
      </rPr>
      <t>n</t>
    </r>
    <r>
      <rPr>
        <sz val="9.5"/>
        <rFont val="Vazir"/>
        <family val="2"/>
      </rPr>
      <t xml:space="preserve">   =</t>
    </r>
  </si>
  <si>
    <r>
      <t>M</t>
    </r>
    <r>
      <rPr>
        <vertAlign val="subscript"/>
        <sz val="9.5"/>
        <color theme="1"/>
        <rFont val="Vazir"/>
        <family val="2"/>
      </rPr>
      <t>u1</t>
    </r>
    <r>
      <rPr>
        <sz val="9.5"/>
        <color theme="1"/>
        <rFont val="Vazir"/>
        <family val="2"/>
      </rPr>
      <t>/M</t>
    </r>
    <r>
      <rPr>
        <vertAlign val="subscript"/>
        <sz val="9.5"/>
        <color theme="1"/>
        <rFont val="Vazir"/>
        <family val="2"/>
      </rPr>
      <t>n</t>
    </r>
    <r>
      <rPr>
        <sz val="9.5"/>
        <color theme="1"/>
        <rFont val="Vazir"/>
        <family val="2"/>
      </rPr>
      <t xml:space="preserve">   =</t>
    </r>
  </si>
  <si>
    <t>C   =</t>
  </si>
  <si>
    <t>T   =</t>
  </si>
  <si>
    <t>y   =</t>
  </si>
  <si>
    <t>Mn   =</t>
  </si>
  <si>
    <t>ظرفیت نهایی مقطع کامپوزیت</t>
  </si>
  <si>
    <r>
      <t xml:space="preserve">M </t>
    </r>
    <r>
      <rPr>
        <vertAlign val="subscript"/>
        <sz val="9.5"/>
        <color theme="1"/>
        <rFont val="Vazir"/>
        <family val="2"/>
      </rPr>
      <t>n composite</t>
    </r>
  </si>
  <si>
    <t>Saftly Factor</t>
  </si>
  <si>
    <t>D</t>
  </si>
  <si>
    <t>Kg/cm2</t>
  </si>
  <si>
    <t>h&gt;4d</t>
  </si>
  <si>
    <t>t-h&gt;25mm0</t>
  </si>
  <si>
    <r>
      <t>t</t>
    </r>
    <r>
      <rPr>
        <vertAlign val="subscript"/>
        <sz val="9.5"/>
        <color theme="1"/>
        <rFont val="Vazir"/>
        <family val="2"/>
      </rPr>
      <t>f</t>
    </r>
  </si>
  <si>
    <t>V min</t>
  </si>
  <si>
    <t>تعداد گل میخ ها در طول سراسر تیر</t>
  </si>
  <si>
    <t>حداقل ظرفیت برشی</t>
  </si>
  <si>
    <t>حداقل ظرفیت برشی یک برش گیر</t>
  </si>
  <si>
    <t>S</t>
  </si>
  <si>
    <t>kgf</t>
  </si>
  <si>
    <t>Shear Stud Design | طراحی برش گیر از نوع گلمیخ</t>
  </si>
  <si>
    <t>Shear Stud Design | طراحی برش گیر از نوع ناودانی</t>
  </si>
  <si>
    <t>UNP60</t>
  </si>
  <si>
    <t>L</t>
  </si>
  <si>
    <t>tf</t>
  </si>
  <si>
    <t>tw</t>
  </si>
  <si>
    <t>tc-h&gt;2.5 cm</t>
  </si>
  <si>
    <t>ϕ</t>
  </si>
  <si>
    <t>ϕ min</t>
  </si>
  <si>
    <t>Lsc</t>
  </si>
  <si>
    <t>Lsc &lt; bf</t>
  </si>
  <si>
    <t>طول ناودانی در جهت عرضی تیر</t>
  </si>
  <si>
    <t>طول ناودانی کوچکتر از عرض بال تیر فرعی باشد</t>
  </si>
  <si>
    <t>حداقل 2.5 سانتیمتر بتن روی برش گیر باشد</t>
  </si>
  <si>
    <t>be'</t>
  </si>
  <si>
    <t>y</t>
  </si>
  <si>
    <t>I trans</t>
  </si>
  <si>
    <t>I Steel</t>
  </si>
  <si>
    <t>I conc</t>
  </si>
  <si>
    <t>A Steel</t>
  </si>
  <si>
    <t>A conc</t>
  </si>
  <si>
    <t>d steel</t>
  </si>
  <si>
    <t>d conc</t>
  </si>
  <si>
    <t>ΔL</t>
  </si>
  <si>
    <t>ΔD2</t>
  </si>
  <si>
    <r>
      <rPr>
        <sz val="11"/>
        <color theme="1"/>
        <rFont val="Calibri"/>
        <family val="2"/>
      </rPr>
      <t>Δ</t>
    </r>
    <r>
      <rPr>
        <vertAlign val="subscript"/>
        <sz val="11"/>
        <color theme="1"/>
        <rFont val="Vazir"/>
        <family val="2"/>
      </rPr>
      <t>D1</t>
    </r>
  </si>
  <si>
    <t>Δ total</t>
  </si>
  <si>
    <t>L/240</t>
  </si>
  <si>
    <t xml:space="preserve">Vibration Control </t>
  </si>
  <si>
    <t>d/L</t>
  </si>
  <si>
    <t>f</t>
  </si>
  <si>
    <t>Hz</t>
  </si>
  <si>
    <t>Es/Ec</t>
  </si>
  <si>
    <t>equvalent effective length</t>
  </si>
  <si>
    <t>PNA Location frome botton of beam</t>
  </si>
  <si>
    <t>Steel section moment inertia</t>
  </si>
  <si>
    <t>Concrete Section moment inertia</t>
  </si>
  <si>
    <t>Steel section Area</t>
  </si>
  <si>
    <t>Concrete Section Area</t>
  </si>
  <si>
    <t>PNA Distance from Steel section</t>
  </si>
  <si>
    <t>PNA Distance from Concrete Section moment inertia</t>
  </si>
  <si>
    <t>transformation of moment inertia of composite beam</t>
  </si>
  <si>
    <t>total deflection composite beam</t>
  </si>
  <si>
    <t>Tahouni book</t>
  </si>
  <si>
    <t>Alirezaee Book</t>
  </si>
  <si>
    <t>Rp</t>
  </si>
  <si>
    <t>Shear Stude conector type</t>
  </si>
  <si>
    <t>B</t>
  </si>
  <si>
    <t>Shear Stude conector Diameter</t>
  </si>
  <si>
    <t>Shear Stude conector Height</t>
  </si>
  <si>
    <t>Shear Stude conector rupture stress</t>
  </si>
  <si>
    <r>
      <t>A</t>
    </r>
    <r>
      <rPr>
        <vertAlign val="subscript"/>
        <sz val="9.5"/>
        <color theme="1"/>
        <rFont val="Vazir"/>
        <family val="2"/>
      </rPr>
      <t>sc</t>
    </r>
  </si>
  <si>
    <t>Shear Stude conector Area section</t>
  </si>
  <si>
    <r>
      <t>beam effective width ,</t>
    </r>
    <r>
      <rPr>
        <sz val="9"/>
        <color theme="1"/>
        <rFont val="Vazir"/>
        <family val="2"/>
      </rPr>
      <t>L/8 for middle beam L/4 for Edge beam</t>
    </r>
  </si>
  <si>
    <t>Type of beams</t>
  </si>
  <si>
    <t xml:space="preserve">Edge Beam </t>
  </si>
  <si>
    <r>
      <t>b</t>
    </r>
    <r>
      <rPr>
        <vertAlign val="subscript"/>
        <sz val="9.5"/>
        <rFont val="Vazir"/>
        <family val="2"/>
      </rPr>
      <t>e3</t>
    </r>
  </si>
  <si>
    <t>عرض موثر 3</t>
  </si>
  <si>
    <r>
      <t>beam effective width ,</t>
    </r>
    <r>
      <rPr>
        <sz val="9"/>
        <color theme="1"/>
        <rFont val="Vazir"/>
        <family val="2"/>
      </rPr>
      <t>Secendry beam spacing</t>
    </r>
  </si>
  <si>
    <t>Minimum value of beam effective width</t>
  </si>
  <si>
    <r>
      <t>b</t>
    </r>
    <r>
      <rPr>
        <vertAlign val="subscript"/>
        <sz val="9.5"/>
        <rFont val="Vazir"/>
        <family val="2"/>
      </rPr>
      <t>e min</t>
    </r>
  </si>
  <si>
    <t>این رابطه آیین نامه نبوده اما در کتاب های مرجع توصیه شده است.</t>
  </si>
  <si>
    <t>چنانچه فواصل تیرها متفاوت است عرض موثر برای هرتیر جداگانه محاسبه گردد</t>
  </si>
  <si>
    <t>Group 2 Loading control (Composite Beam)</t>
  </si>
  <si>
    <t>&lt;=0.05</t>
  </si>
  <si>
    <t>Wet Concrete density</t>
  </si>
  <si>
    <t>Dry Concrete density</t>
  </si>
  <si>
    <t>وزن مخصوص بتن خشک شده</t>
  </si>
  <si>
    <t>وزن مخصوص بتن تر</t>
  </si>
  <si>
    <t>Design of composite beam (ACI 360)</t>
  </si>
  <si>
    <t>Concrete Material Properties</t>
  </si>
  <si>
    <t>Steel Material Properties</t>
  </si>
  <si>
    <t>Modulus of elasticity</t>
  </si>
  <si>
    <t>فاصله محور به محور تیرهای فرعی</t>
  </si>
  <si>
    <t>Specified minimum yield stress of steel</t>
  </si>
  <si>
    <r>
      <t xml:space="preserve">Additional </t>
    </r>
    <r>
      <rPr>
        <b/>
        <sz val="9.5"/>
        <color theme="1"/>
        <rFont val="Vazir"/>
        <family val="2"/>
      </rPr>
      <t>Dead Load</t>
    </r>
  </si>
  <si>
    <r>
      <t>Floor</t>
    </r>
    <r>
      <rPr>
        <b/>
        <sz val="9.5"/>
        <color theme="1"/>
        <rFont val="Vazir"/>
        <family val="2"/>
      </rPr>
      <t xml:space="preserve"> Live Load</t>
    </r>
  </si>
  <si>
    <r>
      <t>Lightweight</t>
    </r>
    <r>
      <rPr>
        <b/>
        <sz val="9.5"/>
        <color theme="1"/>
        <rFont val="Vazir"/>
        <family val="2"/>
      </rPr>
      <t xml:space="preserve"> partition load </t>
    </r>
  </si>
  <si>
    <t>LP</t>
  </si>
  <si>
    <t>بار پارتیشن واحد سطح</t>
  </si>
  <si>
    <r>
      <t xml:space="preserve">Max ultimate </t>
    </r>
    <r>
      <rPr>
        <b/>
        <sz val="9.5"/>
        <color theme="1"/>
        <rFont val="Vazir"/>
        <family val="2"/>
      </rPr>
      <t>Moment</t>
    </r>
  </si>
  <si>
    <r>
      <t xml:space="preserve">Max ultimate </t>
    </r>
    <r>
      <rPr>
        <b/>
        <sz val="9.5"/>
        <color theme="1"/>
        <rFont val="Vazir"/>
        <family val="2"/>
      </rPr>
      <t>Shear</t>
    </r>
  </si>
  <si>
    <t>Max ultimate moment at construction stage:</t>
  </si>
  <si>
    <t>Plastic moment for steel section:</t>
  </si>
  <si>
    <t xml:space="preserve">Design flexural strength of steel section alone; </t>
  </si>
  <si>
    <t>Specified compressive Cylinder strength of concrete</t>
  </si>
  <si>
    <r>
      <t xml:space="preserve">Concrete's Secant </t>
    </r>
    <r>
      <rPr>
        <b/>
        <sz val="9.5"/>
        <color theme="1"/>
        <rFont val="Vazir"/>
        <family val="2"/>
      </rPr>
      <t>Modulus of elasticity</t>
    </r>
  </si>
  <si>
    <t>چنانچه فواصل گلمیخها نزدیک می باشد، می توان در 2ردیف استفاده نمود</t>
  </si>
  <si>
    <t>Note</t>
  </si>
  <si>
    <t>Campaction of web &amp; flange not controled (Limiting width to thickness ratio )</t>
  </si>
  <si>
    <t xml:space="preserve">چنانچه مقطع انتخابی، نورد شده نمی باشد ، میبایست عملیات کنترل فشردگی با توجه مشخصات آن مقطع کنترل گردد. </t>
  </si>
  <si>
    <t>Design shear strength</t>
  </si>
  <si>
    <r>
      <t>Group effect factor for 1 stud per rib; R</t>
    </r>
    <r>
      <rPr>
        <vertAlign val="subscript"/>
        <sz val="8.5"/>
        <color rgb="FF000000"/>
        <rFont val="Verdana"/>
        <family val="2"/>
      </rPr>
      <t>g1</t>
    </r>
    <r>
      <rPr>
        <sz val="8.5"/>
        <color rgb="FF000000"/>
        <rFont val="Verdana"/>
        <family val="2"/>
      </rPr>
      <t xml:space="preserve"> = 1.00</t>
    </r>
  </si>
  <si>
    <r>
      <t>Group effect factor for 2 studs per rib; R</t>
    </r>
    <r>
      <rPr>
        <vertAlign val="subscript"/>
        <sz val="8.5"/>
        <color rgb="FF000000"/>
        <rFont val="Verdana"/>
        <family val="2"/>
      </rPr>
      <t>g2</t>
    </r>
    <r>
      <rPr>
        <sz val="8.5"/>
        <color rgb="FF000000"/>
        <rFont val="Verdana"/>
        <family val="2"/>
      </rPr>
      <t xml:space="preserve"> = 0.85</t>
    </r>
  </si>
  <si>
    <r>
      <t>Group effect factor for 3 studs per rib; R</t>
    </r>
    <r>
      <rPr>
        <vertAlign val="subscript"/>
        <sz val="8.5"/>
        <color rgb="FF000000"/>
        <rFont val="Verdana"/>
        <family val="2"/>
      </rPr>
      <t>g3</t>
    </r>
    <r>
      <rPr>
        <sz val="8.5"/>
        <color rgb="FF000000"/>
        <rFont val="Verdana"/>
        <family val="2"/>
      </rPr>
      <t xml:space="preserve"> = 0.70</t>
    </r>
  </si>
  <si>
    <t>Nom. strength of one stud per rib</t>
  </si>
  <si>
    <t>Long term concrete modulus as % of short term; rE_l = 50 %</t>
  </si>
  <si>
    <t>به جهت لحاظ اثرات خزش در بتن، نسبت مدول الاستیسه بتن به فولاد را را 2 برابر لحاظ می کنیم</t>
  </si>
  <si>
    <t>Long-term deflection due to superimposed dead load (after concrete has cured):</t>
  </si>
  <si>
    <t>CivilExcel.blog.ir</t>
  </si>
  <si>
    <t>programmed by AliReza Khooyeh</t>
  </si>
  <si>
    <t>1402/06/10</t>
  </si>
  <si>
    <t>Engineer :</t>
  </si>
  <si>
    <t>Date :</t>
  </si>
  <si>
    <t>Client Name :</t>
  </si>
  <si>
    <t>Project Name :</t>
  </si>
  <si>
    <t>به جهت نمایش بهتر، فونت وزیر را نصب نمایید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</si>
</sst>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Vazir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.5"/>
      <color theme="1"/>
      <name val="Vazir"/>
      <family val="2"/>
    </font>
    <font>
      <b/>
      <sz val="11"/>
      <color theme="1"/>
      <name val="Vazir"/>
      <family val="2"/>
    </font>
    <font>
      <sz val="9.5"/>
      <color theme="1"/>
      <name val="Vazir"/>
      <family val="2"/>
    </font>
    <font>
      <sz val="9.5"/>
      <name val="Vazir"/>
      <family val="2"/>
    </font>
    <font>
      <b/>
      <sz val="9.5"/>
      <color rgb="FF0070C0"/>
      <name val="Vazir"/>
      <family val="2"/>
    </font>
    <font>
      <b/>
      <sz val="9.5"/>
      <color rgb="FFFF0000"/>
      <name val="Vazir"/>
      <family val="2"/>
    </font>
    <font>
      <b/>
      <sz val="9.5"/>
      <name val="Vazir"/>
      <family val="2"/>
    </font>
    <font>
      <sz val="11"/>
      <color theme="1"/>
      <name val="Vazir"/>
      <family val="2"/>
    </font>
    <font>
      <sz val="11"/>
      <color theme="1"/>
      <name val="Calibri"/>
      <family val="2"/>
    </font>
    <font>
      <vertAlign val="subscript"/>
      <sz val="11"/>
      <color theme="1"/>
      <name val="Vazir"/>
      <family val="2"/>
    </font>
    <font>
      <sz val="10"/>
      <name val="Vazir"/>
      <family val="2"/>
    </font>
    <font>
      <vertAlign val="subscript"/>
      <sz val="9.5"/>
      <color theme="1"/>
      <name val="Vazir"/>
      <family val="2"/>
    </font>
    <font>
      <vertAlign val="subscript"/>
      <sz val="9.5"/>
      <name val="Vazir"/>
      <family val="2"/>
    </font>
    <font>
      <sz val="9.5"/>
      <color theme="1"/>
      <name val="Calibri"/>
      <family val="2"/>
    </font>
    <font>
      <b/>
      <sz val="9.5"/>
      <color rgb="FF00B0F0"/>
      <name val="Vazir"/>
      <family val="2"/>
    </font>
    <font>
      <sz val="9"/>
      <color theme="1"/>
      <name val="Vazir"/>
      <family val="2"/>
    </font>
    <font>
      <sz val="8"/>
      <color theme="1"/>
      <name val="Vazir"/>
      <family val="2"/>
    </font>
    <font>
      <sz val="8.5"/>
      <color theme="1"/>
      <name val="Vazir"/>
      <family val="2"/>
    </font>
    <font>
      <sz val="8.5"/>
      <color rgb="FF7030A0"/>
      <name val="Vazir"/>
      <family val="2"/>
    </font>
    <font>
      <sz val="8.5"/>
      <color rgb="FFFF0000"/>
      <name val="Vazir"/>
      <family val="2"/>
    </font>
    <font>
      <b/>
      <sz val="8.5"/>
      <color rgb="FFFF0000"/>
      <name val="Vazir"/>
      <family val="2"/>
    </font>
    <font>
      <sz val="8.5"/>
      <name val="Vazir"/>
      <family val="2"/>
    </font>
    <font>
      <sz val="8.5"/>
      <color rgb="FF000000"/>
      <name val="Verdana"/>
      <family val="2"/>
    </font>
    <font>
      <vertAlign val="subscript"/>
      <sz val="8.5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/>
    <xf numFmtId="0" fontId="3" fillId="3" borderId="3" xfId="0" applyFont="1" applyFill="1" applyBorder="1"/>
    <xf numFmtId="0" fontId="7" fillId="3" borderId="3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0" fillId="5" borderId="2" xfId="0" applyFill="1" applyBorder="1"/>
    <xf numFmtId="0" fontId="11" fillId="0" borderId="0" xfId="0" applyFont="1"/>
    <xf numFmtId="0" fontId="12" fillId="6" borderId="0" xfId="1" applyFont="1" applyFill="1"/>
    <xf numFmtId="0" fontId="12" fillId="6" borderId="0" xfId="1" applyFont="1" applyFill="1" applyBorder="1"/>
    <xf numFmtId="0" fontId="11" fillId="4" borderId="0" xfId="0" applyFont="1" applyFill="1"/>
    <xf numFmtId="0" fontId="12" fillId="4" borderId="0" xfId="1" applyFont="1" applyFill="1" applyBorder="1" applyAlignment="1">
      <alignment horizontal="left"/>
    </xf>
    <xf numFmtId="0" fontId="12" fillId="4" borderId="0" xfId="1" applyFont="1" applyFill="1" applyBorder="1"/>
    <xf numFmtId="0" fontId="13" fillId="4" borderId="0" xfId="0" applyFont="1" applyFill="1"/>
    <xf numFmtId="0" fontId="11" fillId="4" borderId="5" xfId="0" applyFont="1" applyFill="1" applyBorder="1"/>
    <xf numFmtId="0" fontId="11" fillId="4" borderId="7" xfId="0" applyFont="1" applyFill="1" applyBorder="1"/>
    <xf numFmtId="0" fontId="11" fillId="4" borderId="8" xfId="0" applyFont="1" applyFill="1" applyBorder="1"/>
    <xf numFmtId="0" fontId="11" fillId="4" borderId="9" xfId="0" applyFont="1" applyFill="1" applyBorder="1"/>
    <xf numFmtId="0" fontId="11" fillId="4" borderId="6" xfId="0" applyFont="1" applyFill="1" applyBorder="1"/>
    <xf numFmtId="0" fontId="11" fillId="4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164" fontId="12" fillId="6" borderId="0" xfId="1" applyNumberFormat="1" applyFont="1" applyFill="1" applyBorder="1" applyAlignment="1">
      <alignment horizontal="center" vertical="center"/>
    </xf>
    <xf numFmtId="3" fontId="12" fillId="6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/>
    <xf numFmtId="0" fontId="12" fillId="6" borderId="0" xfId="1" applyFont="1" applyFill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0" xfId="0" applyFont="1" applyFill="1" applyBorder="1"/>
    <xf numFmtId="0" fontId="13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5" fillId="4" borderId="0" xfId="1" applyFont="1" applyFill="1" applyBorder="1"/>
    <xf numFmtId="0" fontId="9" fillId="4" borderId="0" xfId="0" applyFont="1" applyFill="1"/>
    <xf numFmtId="0" fontId="16" fillId="4" borderId="0" xfId="0" applyFont="1" applyFill="1"/>
    <xf numFmtId="0" fontId="0" fillId="5" borderId="3" xfId="0" applyFill="1" applyBorder="1"/>
    <xf numFmtId="0" fontId="0" fillId="0" borderId="3" xfId="0" applyBorder="1"/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/>
    <xf numFmtId="165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left"/>
    </xf>
    <xf numFmtId="1" fontId="12" fillId="4" borderId="0" xfId="1" applyNumberFormat="1" applyFont="1" applyFill="1" applyBorder="1" applyAlignment="1">
      <alignment horizontal="center" vertical="center"/>
    </xf>
    <xf numFmtId="164" fontId="15" fillId="4" borderId="0" xfId="1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164" fontId="11" fillId="4" borderId="0" xfId="0" applyNumberFormat="1" applyFont="1" applyFill="1"/>
    <xf numFmtId="2" fontId="11" fillId="4" borderId="0" xfId="0" applyNumberFormat="1" applyFont="1" applyFill="1" applyAlignment="1">
      <alignment horizontal="center"/>
    </xf>
    <xf numFmtId="164" fontId="19" fillId="6" borderId="0" xfId="1" applyNumberFormat="1" applyFont="1" applyFill="1" applyBorder="1" applyAlignment="1">
      <alignment horizontal="center" vertical="center"/>
    </xf>
    <xf numFmtId="2" fontId="11" fillId="4" borderId="0" xfId="0" applyNumberFormat="1" applyFont="1" applyFill="1" applyAlignment="1">
      <alignment horizontal="center" vertical="center"/>
    </xf>
    <xf numFmtId="1" fontId="11" fillId="4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22" fillId="4" borderId="0" xfId="0" applyFont="1" applyFill="1"/>
    <xf numFmtId="0" fontId="11" fillId="4" borderId="1" xfId="0" applyFont="1" applyFill="1" applyBorder="1"/>
    <xf numFmtId="166" fontId="11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23" fillId="4" borderId="0" xfId="0" applyFont="1" applyFill="1" applyAlignment="1">
      <alignment horizontal="center" vertical="center"/>
    </xf>
    <xf numFmtId="0" fontId="12" fillId="6" borderId="0" xfId="1" applyFont="1" applyFill="1" applyAlignment="1">
      <alignment vertical="center"/>
    </xf>
    <xf numFmtId="0" fontId="12" fillId="6" borderId="0" xfId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6" fillId="4" borderId="6" xfId="0" applyFont="1" applyFill="1" applyBorder="1"/>
    <xf numFmtId="0" fontId="26" fillId="4" borderId="12" xfId="0" applyFont="1" applyFill="1" applyBorder="1"/>
    <xf numFmtId="0" fontId="26" fillId="4" borderId="0" xfId="0" applyFont="1" applyFill="1"/>
    <xf numFmtId="0" fontId="26" fillId="0" borderId="0" xfId="0" applyFont="1"/>
    <xf numFmtId="0" fontId="26" fillId="4" borderId="0" xfId="0" applyFont="1" applyFill="1" applyAlignment="1">
      <alignment horizontal="left"/>
    </xf>
    <xf numFmtId="0" fontId="26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28" fillId="4" borderId="0" xfId="0" applyFont="1" applyFill="1"/>
    <xf numFmtId="0" fontId="29" fillId="4" borderId="0" xfId="0" applyFont="1" applyFill="1"/>
    <xf numFmtId="0" fontId="30" fillId="4" borderId="0" xfId="1" applyFont="1" applyFill="1" applyBorder="1"/>
    <xf numFmtId="2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0" fontId="26" fillId="4" borderId="6" xfId="0" applyFont="1" applyFill="1" applyBorder="1" applyAlignment="1">
      <alignment horizontal="right" wrapText="1"/>
    </xf>
    <xf numFmtId="164" fontId="11" fillId="0" borderId="0" xfId="0" applyNumberFormat="1" applyFont="1"/>
    <xf numFmtId="0" fontId="11" fillId="7" borderId="0" xfId="0" applyFont="1" applyFill="1"/>
    <xf numFmtId="0" fontId="25" fillId="4" borderId="0" xfId="0" applyFont="1" applyFill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/>
    </xf>
    <xf numFmtId="0" fontId="23" fillId="7" borderId="0" xfId="0" applyFont="1" applyFill="1" applyAlignment="1">
      <alignment horizontal="center" vertical="center"/>
    </xf>
    <xf numFmtId="0" fontId="11" fillId="7" borderId="6" xfId="0" applyFont="1" applyFill="1" applyBorder="1"/>
    <xf numFmtId="0" fontId="31" fillId="7" borderId="0" xfId="0" applyFont="1" applyFill="1" applyAlignment="1">
      <alignment vertical="center"/>
    </xf>
    <xf numFmtId="0" fontId="11" fillId="4" borderId="16" xfId="0" applyFont="1" applyFill="1" applyBorder="1"/>
    <xf numFmtId="0" fontId="9" fillId="4" borderId="17" xfId="0" applyFont="1" applyFill="1" applyBorder="1" applyAlignment="1">
      <alignment horizontal="left"/>
    </xf>
    <xf numFmtId="0" fontId="11" fillId="4" borderId="18" xfId="0" applyFont="1" applyFill="1" applyBorder="1"/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/>
    <xf numFmtId="0" fontId="11" fillId="4" borderId="20" xfId="0" applyFont="1" applyFill="1" applyBorder="1"/>
    <xf numFmtId="0" fontId="11" fillId="4" borderId="21" xfId="0" applyFont="1" applyFill="1" applyBorder="1"/>
    <xf numFmtId="0" fontId="11" fillId="4" borderId="11" xfId="0" applyFont="1" applyFill="1" applyBorder="1"/>
    <xf numFmtId="0" fontId="11" fillId="4" borderId="11" xfId="0" applyFont="1" applyFill="1" applyBorder="1" applyAlignment="1">
      <alignment horizontal="center" vertical="center"/>
    </xf>
    <xf numFmtId="0" fontId="11" fillId="4" borderId="22" xfId="0" applyFont="1" applyFill="1" applyBorder="1"/>
    <xf numFmtId="0" fontId="26" fillId="4" borderId="0" xfId="0" applyFont="1" applyFill="1" applyAlignment="1">
      <alignment horizontal="left"/>
    </xf>
    <xf numFmtId="0" fontId="10" fillId="4" borderId="11" xfId="0" applyFont="1" applyFill="1" applyBorder="1" applyAlignment="1">
      <alignment horizontal="left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/>
    </xf>
    <xf numFmtId="0" fontId="24" fillId="7" borderId="0" xfId="0" applyFont="1" applyFill="1" applyAlignment="1">
      <alignment horizontal="right" vertical="center" wrapText="1"/>
    </xf>
    <xf numFmtId="0" fontId="24" fillId="7" borderId="6" xfId="0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center"/>
    </xf>
    <xf numFmtId="0" fontId="26" fillId="4" borderId="0" xfId="0" applyFont="1" applyFill="1" applyAlignment="1">
      <alignment horizontal="right" wrapText="1"/>
    </xf>
    <xf numFmtId="0" fontId="26" fillId="4" borderId="6" xfId="0" applyFont="1" applyFill="1" applyBorder="1" applyAlignment="1">
      <alignment horizontal="right" wrapText="1"/>
    </xf>
    <xf numFmtId="0" fontId="26" fillId="7" borderId="0" xfId="0" applyFont="1" applyFill="1" applyAlignment="1">
      <alignment horizontal="right" vertical="center" wrapText="1"/>
    </xf>
    <xf numFmtId="0" fontId="26" fillId="7" borderId="6" xfId="0" applyFont="1" applyFill="1" applyBorder="1" applyAlignment="1">
      <alignment horizontal="right" vertical="center" wrapText="1"/>
    </xf>
    <xf numFmtId="0" fontId="26" fillId="7" borderId="0" xfId="0" applyFont="1" applyFill="1" applyAlignment="1">
      <alignment horizontal="right"/>
    </xf>
    <xf numFmtId="0" fontId="26" fillId="7" borderId="6" xfId="0" applyFont="1" applyFill="1" applyBorder="1" applyAlignment="1">
      <alignment horizontal="right"/>
    </xf>
    <xf numFmtId="0" fontId="26" fillId="7" borderId="0" xfId="0" applyFont="1" applyFill="1" applyAlignment="1">
      <alignment horizontal="left"/>
    </xf>
    <xf numFmtId="0" fontId="26" fillId="7" borderId="6" xfId="0" applyFont="1" applyFill="1" applyBorder="1" applyAlignment="1">
      <alignment horizontal="left"/>
    </xf>
    <xf numFmtId="0" fontId="11" fillId="7" borderId="0" xfId="0" applyFont="1" applyFill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26" fillId="7" borderId="0" xfId="0" applyFont="1" applyFill="1" applyAlignment="1">
      <alignment horizontal="left" vertical="center" wrapText="1"/>
    </xf>
    <xf numFmtId="0" fontId="26" fillId="7" borderId="6" xfId="0" applyFont="1" applyFill="1" applyBorder="1" applyAlignment="1">
      <alignment horizontal="left" vertical="center" wrapText="1"/>
    </xf>
  </cellXfs>
  <cellStyles count="2">
    <cellStyle name="Accent5" xfId="1" builtinId="45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'سقف عرشه فولادی (2)'!$R$64:$R$66</c:f>
              <c:numCache>
                <c:formatCode>General</c:formatCode>
                <c:ptCount val="3"/>
                <c:pt idx="0">
                  <c:v>0</c:v>
                </c:pt>
                <c:pt idx="1">
                  <c:v>3.5</c:v>
                </c:pt>
                <c:pt idx="2">
                  <c:v>7</c:v>
                </c:pt>
              </c:numCache>
            </c:numRef>
          </c:xVal>
          <c:yVal>
            <c:numRef>
              <c:f>'سقف عرشه فولادی (2)'!$S$64:$S$66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15402.170000000002</c:v>
                </c:pt>
                <c:pt idx="2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3D-4767-9D64-62E7DEFD1F0B}"/>
            </c:ext>
          </c:extLst>
        </c:ser>
        <c:ser>
          <c:idx val="1"/>
          <c:order val="1"/>
          <c:tx>
            <c:v>beam+'سقف عرشه فولادی (2)'!$R$65:$S$65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triangle"/>
              <c:size val="12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444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E2-47D2-918E-A6D52D335B46}"/>
              </c:ext>
            </c:extLst>
          </c:dPt>
          <c:xVal>
            <c:numRef>
              <c:f>'سقف عرشه فولادی (2)'!$R$67:$R$68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'سقف عرشه فولادی (2)'!$S$67:$S$68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E2-47D2-918E-A6D52D335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499808"/>
        <c:axId val="1135498560"/>
      </c:scatterChart>
      <c:valAx>
        <c:axId val="11354998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Moment Diagram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135498560"/>
        <c:crosses val="autoZero"/>
        <c:crossBetween val="midCat"/>
      </c:valAx>
      <c:valAx>
        <c:axId val="1135498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5499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'سقف عرشه فولادی (2)'!$R$64:$R$66</c:f>
              <c:numCache>
                <c:formatCode>General</c:formatCode>
                <c:ptCount val="3"/>
                <c:pt idx="0">
                  <c:v>0</c:v>
                </c:pt>
                <c:pt idx="1">
                  <c:v>3.5</c:v>
                </c:pt>
                <c:pt idx="2">
                  <c:v>7</c:v>
                </c:pt>
              </c:numCache>
            </c:numRef>
          </c:xVal>
          <c:yVal>
            <c:numRef>
              <c:f>'سقف عرشه فولادی (2)'!$T$64:$T$66</c:f>
              <c:numCache>
                <c:formatCode>0.0</c:formatCode>
                <c:ptCount val="3"/>
                <c:pt idx="0">
                  <c:v>-8801.2400000000016</c:v>
                </c:pt>
                <c:pt idx="1">
                  <c:v>0</c:v>
                </c:pt>
                <c:pt idx="2">
                  <c:v>8801.2400000000016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3D-4767-9D64-62E7DEFD1F0B}"/>
            </c:ext>
          </c:extLst>
        </c:ser>
        <c:ser>
          <c:idx val="1"/>
          <c:order val="1"/>
          <c:tx>
            <c:v>beam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2"/>
            <c:spPr>
              <a:solidFill>
                <a:schemeClr val="accent2"/>
              </a:solidFill>
              <a:ln w="8890">
                <a:solidFill>
                  <a:schemeClr val="accent2"/>
                </a:solidFill>
              </a:ln>
              <a:effectLst/>
            </c:spPr>
          </c:marker>
          <c:xVal>
            <c:numRef>
              <c:f>'سقف عرشه فولادی (2)'!$R$67:$R$68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'سقف عرشه فولادی (2)'!$S$67:$S$68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03-4F36-8415-77BC34FE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499808"/>
        <c:axId val="1135498560"/>
      </c:scatterChart>
      <c:valAx>
        <c:axId val="1135499808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Shear Diagram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135498560"/>
        <c:crosses val="autoZero"/>
        <c:crossBetween val="midCat"/>
      </c:valAx>
      <c:valAx>
        <c:axId val="1135498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35499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image" Target="../media/image4.png"/><Relationship Id="rId7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30480</xdr:colOff>
      <xdr:row>2</xdr:row>
      <xdr:rowOff>0</xdr:rowOff>
    </xdr:from>
    <xdr:to>
      <xdr:col>22</xdr:col>
      <xdr:colOff>563880</xdr:colOff>
      <xdr:row>18</xdr:row>
      <xdr:rowOff>114300</xdr:rowOff>
    </xdr:to>
    <xdr:pic>
      <xdr:nvPicPr>
        <xdr:cNvPr id="2" name="Picture 3" descr="i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960" y="365760"/>
          <a:ext cx="2362200" cy="3040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339820</xdr:colOff>
      <xdr:row>107</xdr:row>
      <xdr:rowOff>152400</xdr:rowOff>
    </xdr:from>
    <xdr:to>
      <xdr:col>24</xdr:col>
      <xdr:colOff>400780</xdr:colOff>
      <xdr:row>119</xdr:row>
      <xdr:rowOff>103615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9DFFB-A7C9-4200-8777-6B58AC0F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95" y="17173575"/>
          <a:ext cx="1889760" cy="258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223722</xdr:colOff>
      <xdr:row>106</xdr:row>
      <xdr:rowOff>144780</xdr:rowOff>
    </xdr:from>
    <xdr:to>
      <xdr:col>25</xdr:col>
      <xdr:colOff>516878</xdr:colOff>
      <xdr:row>109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71C158C-9E57-47D4-872F-67D5B6F21D31}"/>
            </a:ext>
          </a:extLst>
        </xdr:cNvPr>
        <xdr:cNvSpPr/>
      </xdr:nvSpPr>
      <xdr:spPr>
        <a:xfrm>
          <a:off x="14958897" y="16946880"/>
          <a:ext cx="3341156" cy="58864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99060</xdr:colOff>
      <xdr:row>111</xdr:row>
      <xdr:rowOff>137160</xdr:rowOff>
    </xdr:from>
    <xdr:to>
      <xdr:col>24</xdr:col>
      <xdr:colOff>205740</xdr:colOff>
      <xdr:row>117</xdr:row>
      <xdr:rowOff>144780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69205FC-B51D-4774-BBCA-426A9F482B50}"/>
            </a:ext>
          </a:extLst>
        </xdr:cNvPr>
        <xdr:cNvSpPr/>
      </xdr:nvSpPr>
      <xdr:spPr>
        <a:xfrm>
          <a:off x="16663035" y="18034635"/>
          <a:ext cx="716280" cy="132207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601980</xdr:colOff>
      <xdr:row>107</xdr:row>
      <xdr:rowOff>22860</xdr:rowOff>
    </xdr:from>
    <xdr:to>
      <xdr:col>23</xdr:col>
      <xdr:colOff>99060</xdr:colOff>
      <xdr:row>109</xdr:row>
      <xdr:rowOff>15240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3904F7F-3A52-40E7-A600-69BF0C1BAF9B}"/>
            </a:ext>
          </a:extLst>
        </xdr:cNvPr>
        <xdr:cNvGrpSpPr/>
      </xdr:nvGrpSpPr>
      <xdr:grpSpPr>
        <a:xfrm>
          <a:off x="15974502" y="24854121"/>
          <a:ext cx="722906" cy="423076"/>
          <a:chOff x="7734300" y="8587740"/>
          <a:chExt cx="716280" cy="403860"/>
        </a:xfrm>
      </xdr:grpSpPr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56E0AE3B-69F0-4EBB-9C06-A67D900E0212}"/>
              </a:ext>
            </a:extLst>
          </xdr:cNvPr>
          <xdr:cNvCxnSpPr/>
        </xdr:nvCxnSpPr>
        <xdr:spPr>
          <a:xfrm>
            <a:off x="7734300" y="858774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8FF6F01D-EFF7-4513-9F99-E8823C1D007E}"/>
              </a:ext>
            </a:extLst>
          </xdr:cNvPr>
          <xdr:cNvCxnSpPr/>
        </xdr:nvCxnSpPr>
        <xdr:spPr>
          <a:xfrm>
            <a:off x="7749540" y="869442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D109DA73-E34F-4C14-8AD8-DA8C6CE6BDFB}"/>
              </a:ext>
            </a:extLst>
          </xdr:cNvPr>
          <xdr:cNvCxnSpPr/>
        </xdr:nvCxnSpPr>
        <xdr:spPr>
          <a:xfrm>
            <a:off x="7749540" y="880110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8D125918-70FD-477D-85F7-DF7014B8010E}"/>
              </a:ext>
            </a:extLst>
          </xdr:cNvPr>
          <xdr:cNvCxnSpPr/>
        </xdr:nvCxnSpPr>
        <xdr:spPr>
          <a:xfrm>
            <a:off x="7749540" y="890778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855276A2-119B-495D-A83E-86F5349D5E5E}"/>
              </a:ext>
            </a:extLst>
          </xdr:cNvPr>
          <xdr:cNvCxnSpPr/>
        </xdr:nvCxnSpPr>
        <xdr:spPr>
          <a:xfrm>
            <a:off x="7749540" y="899160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106680</xdr:colOff>
      <xdr:row>112</xdr:row>
      <xdr:rowOff>22860</xdr:rowOff>
    </xdr:from>
    <xdr:to>
      <xdr:col>24</xdr:col>
      <xdr:colOff>220980</xdr:colOff>
      <xdr:row>117</xdr:row>
      <xdr:rowOff>67491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3116467-126E-45DD-83E8-B4E4BA532DAB}"/>
            </a:ext>
          </a:extLst>
        </xdr:cNvPr>
        <xdr:cNvGrpSpPr/>
      </xdr:nvGrpSpPr>
      <xdr:grpSpPr>
        <a:xfrm>
          <a:off x="16705028" y="25930860"/>
          <a:ext cx="727213" cy="1121370"/>
          <a:chOff x="8458200" y="9128760"/>
          <a:chExt cx="723900" cy="15240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C1EB8287-6504-45F8-8184-C30F719F7969}"/>
              </a:ext>
            </a:extLst>
          </xdr:cNvPr>
          <xdr:cNvCxnSpPr/>
        </xdr:nvCxnSpPr>
        <xdr:spPr>
          <a:xfrm flipH="1">
            <a:off x="8458200" y="91287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52FA20CC-E8FF-4C9B-A838-A11CDC3D65E2}"/>
              </a:ext>
            </a:extLst>
          </xdr:cNvPr>
          <xdr:cNvCxnSpPr/>
        </xdr:nvCxnSpPr>
        <xdr:spPr>
          <a:xfrm flipH="1">
            <a:off x="8465820" y="92811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FE0A741A-21CD-44C0-B1CC-F6B72E887635}"/>
              </a:ext>
            </a:extLst>
          </xdr:cNvPr>
          <xdr:cNvCxnSpPr/>
        </xdr:nvCxnSpPr>
        <xdr:spPr>
          <a:xfrm flipH="1">
            <a:off x="8473440" y="94335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1991439F-CF24-41A4-B5ED-995E8BC05D02}"/>
              </a:ext>
            </a:extLst>
          </xdr:cNvPr>
          <xdr:cNvCxnSpPr/>
        </xdr:nvCxnSpPr>
        <xdr:spPr>
          <a:xfrm flipH="1">
            <a:off x="8481060" y="95859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58014BF5-76EE-4CFB-A30A-F8A03EB54F65}"/>
              </a:ext>
            </a:extLst>
          </xdr:cNvPr>
          <xdr:cNvCxnSpPr/>
        </xdr:nvCxnSpPr>
        <xdr:spPr>
          <a:xfrm flipH="1">
            <a:off x="8473440" y="97383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6B4F4B9B-F825-40BB-8570-129904632AFF}"/>
              </a:ext>
            </a:extLst>
          </xdr:cNvPr>
          <xdr:cNvCxnSpPr/>
        </xdr:nvCxnSpPr>
        <xdr:spPr>
          <a:xfrm flipH="1">
            <a:off x="8465820" y="98907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3993ACED-1237-4D39-A8E7-F3E9C1120DFA}"/>
              </a:ext>
            </a:extLst>
          </xdr:cNvPr>
          <xdr:cNvCxnSpPr/>
        </xdr:nvCxnSpPr>
        <xdr:spPr>
          <a:xfrm flipH="1">
            <a:off x="8465820" y="100431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FA2C92C7-AC13-4281-82FB-A014B58CA48A}"/>
              </a:ext>
            </a:extLst>
          </xdr:cNvPr>
          <xdr:cNvCxnSpPr/>
        </xdr:nvCxnSpPr>
        <xdr:spPr>
          <a:xfrm flipH="1">
            <a:off x="8465820" y="101955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E91F27E0-123A-4BA6-BD9B-A244796BB21D}"/>
              </a:ext>
            </a:extLst>
          </xdr:cNvPr>
          <xdr:cNvCxnSpPr/>
        </xdr:nvCxnSpPr>
        <xdr:spPr>
          <a:xfrm flipH="1">
            <a:off x="8465820" y="103479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ED42633A-8E71-447B-B1CE-41AB2DFCB1DF}"/>
              </a:ext>
            </a:extLst>
          </xdr:cNvPr>
          <xdr:cNvCxnSpPr/>
        </xdr:nvCxnSpPr>
        <xdr:spPr>
          <a:xfrm flipH="1">
            <a:off x="8465820" y="105003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BA21E92A-A343-43BF-8F7A-46274B4C0E2B}"/>
              </a:ext>
            </a:extLst>
          </xdr:cNvPr>
          <xdr:cNvCxnSpPr/>
        </xdr:nvCxnSpPr>
        <xdr:spPr>
          <a:xfrm flipH="1">
            <a:off x="8465820" y="10652760"/>
            <a:ext cx="70104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68580</xdr:colOff>
      <xdr:row>106</xdr:row>
      <xdr:rowOff>160020</xdr:rowOff>
    </xdr:from>
    <xdr:to>
      <xdr:col>23</xdr:col>
      <xdr:colOff>99060</xdr:colOff>
      <xdr:row>111</xdr:row>
      <xdr:rowOff>121920</xdr:rowOff>
    </xdr:to>
    <xdr:sp macro="" textlink="">
      <xdr:nvSpPr>
        <xdr:cNvPr id="23" name="Rectangle 24">
          <a:extLst>
            <a:ext uri="{FF2B5EF4-FFF2-40B4-BE49-F238E27FC236}">
              <a16:creationId xmlns:a16="http://schemas.microsoft.com/office/drawing/2014/main" id="{8126C132-1016-46AC-B48E-FF98283D1C97}"/>
            </a:ext>
          </a:extLst>
        </xdr:cNvPr>
        <xdr:cNvSpPr/>
      </xdr:nvSpPr>
      <xdr:spPr>
        <a:xfrm>
          <a:off x="15413355" y="16962120"/>
          <a:ext cx="1249680" cy="1057275"/>
        </a:xfrm>
        <a:custGeom>
          <a:avLst/>
          <a:gdLst>
            <a:gd name="connsiteX0" fmla="*/ 0 w 739140"/>
            <a:gd name="connsiteY0" fmla="*/ 0 h 899160"/>
            <a:gd name="connsiteX1" fmla="*/ 739140 w 739140"/>
            <a:gd name="connsiteY1" fmla="*/ 0 h 899160"/>
            <a:gd name="connsiteX2" fmla="*/ 739140 w 739140"/>
            <a:gd name="connsiteY2" fmla="*/ 899160 h 899160"/>
            <a:gd name="connsiteX3" fmla="*/ 0 w 739140"/>
            <a:gd name="connsiteY3" fmla="*/ 899160 h 899160"/>
            <a:gd name="connsiteX4" fmla="*/ 0 w 739140"/>
            <a:gd name="connsiteY4" fmla="*/ 0 h 899160"/>
            <a:gd name="connsiteX0" fmla="*/ 7620 w 746760"/>
            <a:gd name="connsiteY0" fmla="*/ 0 h 899160"/>
            <a:gd name="connsiteX1" fmla="*/ 746760 w 746760"/>
            <a:gd name="connsiteY1" fmla="*/ 0 h 899160"/>
            <a:gd name="connsiteX2" fmla="*/ 746760 w 746760"/>
            <a:gd name="connsiteY2" fmla="*/ 899160 h 899160"/>
            <a:gd name="connsiteX3" fmla="*/ 7620 w 746760"/>
            <a:gd name="connsiteY3" fmla="*/ 899160 h 899160"/>
            <a:gd name="connsiteX4" fmla="*/ 0 w 746760"/>
            <a:gd name="connsiteY4" fmla="*/ 480060 h 899160"/>
            <a:gd name="connsiteX5" fmla="*/ 7620 w 746760"/>
            <a:gd name="connsiteY5" fmla="*/ 0 h 899160"/>
            <a:gd name="connsiteX0" fmla="*/ 617220 w 1356360"/>
            <a:gd name="connsiteY0" fmla="*/ 0 h 899160"/>
            <a:gd name="connsiteX1" fmla="*/ 1356360 w 1356360"/>
            <a:gd name="connsiteY1" fmla="*/ 0 h 899160"/>
            <a:gd name="connsiteX2" fmla="*/ 1356360 w 1356360"/>
            <a:gd name="connsiteY2" fmla="*/ 899160 h 899160"/>
            <a:gd name="connsiteX3" fmla="*/ 0 w 1356360"/>
            <a:gd name="connsiteY3" fmla="*/ 899160 h 899160"/>
            <a:gd name="connsiteX4" fmla="*/ 609600 w 1356360"/>
            <a:gd name="connsiteY4" fmla="*/ 480060 h 899160"/>
            <a:gd name="connsiteX5" fmla="*/ 617220 w 1356360"/>
            <a:gd name="connsiteY5" fmla="*/ 0 h 899160"/>
            <a:gd name="connsiteX0" fmla="*/ 617220 w 1356360"/>
            <a:gd name="connsiteY0" fmla="*/ 0 h 899160"/>
            <a:gd name="connsiteX1" fmla="*/ 1356360 w 1356360"/>
            <a:gd name="connsiteY1" fmla="*/ 0 h 899160"/>
            <a:gd name="connsiteX2" fmla="*/ 1356360 w 1356360"/>
            <a:gd name="connsiteY2" fmla="*/ 899160 h 899160"/>
            <a:gd name="connsiteX3" fmla="*/ 0 w 1356360"/>
            <a:gd name="connsiteY3" fmla="*/ 899160 h 899160"/>
            <a:gd name="connsiteX4" fmla="*/ 304800 w 1356360"/>
            <a:gd name="connsiteY4" fmla="*/ 693420 h 899160"/>
            <a:gd name="connsiteX5" fmla="*/ 609600 w 1356360"/>
            <a:gd name="connsiteY5" fmla="*/ 480060 h 899160"/>
            <a:gd name="connsiteX6" fmla="*/ 617220 w 1356360"/>
            <a:gd name="connsiteY6" fmla="*/ 0 h 899160"/>
            <a:gd name="connsiteX0" fmla="*/ 617220 w 1356360"/>
            <a:gd name="connsiteY0" fmla="*/ 0 h 899160"/>
            <a:gd name="connsiteX1" fmla="*/ 1356360 w 1356360"/>
            <a:gd name="connsiteY1" fmla="*/ 0 h 899160"/>
            <a:gd name="connsiteX2" fmla="*/ 1356360 w 1356360"/>
            <a:gd name="connsiteY2" fmla="*/ 899160 h 899160"/>
            <a:gd name="connsiteX3" fmla="*/ 0 w 1356360"/>
            <a:gd name="connsiteY3" fmla="*/ 899160 h 899160"/>
            <a:gd name="connsiteX4" fmla="*/ 7620 w 1356360"/>
            <a:gd name="connsiteY4" fmla="*/ 480060 h 899160"/>
            <a:gd name="connsiteX5" fmla="*/ 609600 w 1356360"/>
            <a:gd name="connsiteY5" fmla="*/ 480060 h 899160"/>
            <a:gd name="connsiteX6" fmla="*/ 617220 w 1356360"/>
            <a:gd name="connsiteY6" fmla="*/ 0 h 899160"/>
            <a:gd name="connsiteX0" fmla="*/ 609600 w 1348740"/>
            <a:gd name="connsiteY0" fmla="*/ 0 h 906780"/>
            <a:gd name="connsiteX1" fmla="*/ 1348740 w 1348740"/>
            <a:gd name="connsiteY1" fmla="*/ 0 h 906780"/>
            <a:gd name="connsiteX2" fmla="*/ 1348740 w 1348740"/>
            <a:gd name="connsiteY2" fmla="*/ 899160 h 906780"/>
            <a:gd name="connsiteX3" fmla="*/ 99060 w 1348740"/>
            <a:gd name="connsiteY3" fmla="*/ 906780 h 906780"/>
            <a:gd name="connsiteX4" fmla="*/ 0 w 1348740"/>
            <a:gd name="connsiteY4" fmla="*/ 480060 h 906780"/>
            <a:gd name="connsiteX5" fmla="*/ 601980 w 1348740"/>
            <a:gd name="connsiteY5" fmla="*/ 480060 h 906780"/>
            <a:gd name="connsiteX6" fmla="*/ 609600 w 1348740"/>
            <a:gd name="connsiteY6" fmla="*/ 0 h 906780"/>
            <a:gd name="connsiteX0" fmla="*/ 510540 w 1249680"/>
            <a:gd name="connsiteY0" fmla="*/ 0 h 906780"/>
            <a:gd name="connsiteX1" fmla="*/ 1249680 w 1249680"/>
            <a:gd name="connsiteY1" fmla="*/ 0 h 906780"/>
            <a:gd name="connsiteX2" fmla="*/ 1249680 w 1249680"/>
            <a:gd name="connsiteY2" fmla="*/ 899160 h 906780"/>
            <a:gd name="connsiteX3" fmla="*/ 0 w 1249680"/>
            <a:gd name="connsiteY3" fmla="*/ 906780 h 906780"/>
            <a:gd name="connsiteX4" fmla="*/ 0 w 1249680"/>
            <a:gd name="connsiteY4" fmla="*/ 480060 h 906780"/>
            <a:gd name="connsiteX5" fmla="*/ 502920 w 1249680"/>
            <a:gd name="connsiteY5" fmla="*/ 480060 h 906780"/>
            <a:gd name="connsiteX6" fmla="*/ 510540 w 1249680"/>
            <a:gd name="connsiteY6" fmla="*/ 0 h 9067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49680" h="906780">
              <a:moveTo>
                <a:pt x="510540" y="0"/>
              </a:moveTo>
              <a:lnTo>
                <a:pt x="1249680" y="0"/>
              </a:lnTo>
              <a:lnTo>
                <a:pt x="1249680" y="899160"/>
              </a:lnTo>
              <a:lnTo>
                <a:pt x="0" y="906780"/>
              </a:lnTo>
              <a:lnTo>
                <a:pt x="0" y="480060"/>
              </a:lnTo>
              <a:lnTo>
                <a:pt x="502920" y="480060"/>
              </a:lnTo>
              <a:lnTo>
                <a:pt x="510540" y="0"/>
              </a:lnTo>
              <a:close/>
            </a:path>
          </a:pathLst>
        </a:cu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53340</xdr:colOff>
      <xdr:row>109</xdr:row>
      <xdr:rowOff>83820</xdr:rowOff>
    </xdr:from>
    <xdr:to>
      <xdr:col>23</xdr:col>
      <xdr:colOff>114300</xdr:colOff>
      <xdr:row>111</xdr:row>
      <xdr:rowOff>106680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F2906D10-EA61-4673-AEC8-2DF11829F5DC}"/>
            </a:ext>
          </a:extLst>
        </xdr:cNvPr>
        <xdr:cNvGrpSpPr/>
      </xdr:nvGrpSpPr>
      <xdr:grpSpPr>
        <a:xfrm>
          <a:off x="15425862" y="25345777"/>
          <a:ext cx="1286786" cy="453555"/>
          <a:chOff x="7734300" y="8587740"/>
          <a:chExt cx="716280" cy="403860"/>
        </a:xfrm>
      </xdr:grpSpPr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B6CFDF5-6A0C-4AA1-A664-CB7A8727D5C9}"/>
              </a:ext>
            </a:extLst>
          </xdr:cNvPr>
          <xdr:cNvCxnSpPr/>
        </xdr:nvCxnSpPr>
        <xdr:spPr>
          <a:xfrm>
            <a:off x="7734300" y="858774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3D1324B4-3245-46BB-B960-55D09BA41A8F}"/>
              </a:ext>
            </a:extLst>
          </xdr:cNvPr>
          <xdr:cNvCxnSpPr/>
        </xdr:nvCxnSpPr>
        <xdr:spPr>
          <a:xfrm>
            <a:off x="7749540" y="869442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F6680E23-94D4-45F4-8741-36D79A8CBB02}"/>
              </a:ext>
            </a:extLst>
          </xdr:cNvPr>
          <xdr:cNvCxnSpPr/>
        </xdr:nvCxnSpPr>
        <xdr:spPr>
          <a:xfrm>
            <a:off x="7749540" y="880110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9EFCFBE6-9FB5-4211-943A-CF09D3769B52}"/>
              </a:ext>
            </a:extLst>
          </xdr:cNvPr>
          <xdr:cNvCxnSpPr/>
        </xdr:nvCxnSpPr>
        <xdr:spPr>
          <a:xfrm>
            <a:off x="7749540" y="890778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006C77EA-DCAD-421A-835C-7CF5DD5B7951}"/>
              </a:ext>
            </a:extLst>
          </xdr:cNvPr>
          <xdr:cNvCxnSpPr/>
        </xdr:nvCxnSpPr>
        <xdr:spPr>
          <a:xfrm>
            <a:off x="7749540" y="8991600"/>
            <a:ext cx="701040" cy="0"/>
          </a:xfrm>
          <a:prstGeom prst="straightConnector1">
            <a:avLst/>
          </a:prstGeom>
          <a:ln>
            <a:solidFill>
              <a:srgbClr val="00206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572338</xdr:colOff>
      <xdr:row>118</xdr:row>
      <xdr:rowOff>140967</xdr:rowOff>
    </xdr:from>
    <xdr:to>
      <xdr:col>7</xdr:col>
      <xdr:colOff>47796</xdr:colOff>
      <xdr:row>129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43C4ED28-78AE-46FA-A9F9-E78447298536}"/>
            </a:ext>
          </a:extLst>
        </xdr:cNvPr>
        <xdr:cNvGrpSpPr/>
      </xdr:nvGrpSpPr>
      <xdr:grpSpPr>
        <a:xfrm>
          <a:off x="4448599" y="27341054"/>
          <a:ext cx="2639414" cy="2227859"/>
          <a:chOff x="4553787" y="14761845"/>
          <a:chExt cx="3322106" cy="3099926"/>
        </a:xfrm>
      </xdr:grpSpPr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CFF9B38E-DDA1-41C9-9682-40BB92ED90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60435" y="15011400"/>
            <a:ext cx="1889760" cy="2575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15AFCC4-B592-436B-9426-01CCDFC64CCB}"/>
              </a:ext>
            </a:extLst>
          </xdr:cNvPr>
          <xdr:cNvSpPr/>
        </xdr:nvSpPr>
        <xdr:spPr>
          <a:xfrm>
            <a:off x="4553787" y="14784705"/>
            <a:ext cx="3322106" cy="61722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B81CEC8B-0F5C-443A-9CAB-937242EAEFBB}"/>
              </a:ext>
            </a:extLst>
          </xdr:cNvPr>
          <xdr:cNvSpPr/>
        </xdr:nvSpPr>
        <xdr:spPr>
          <a:xfrm>
            <a:off x="5499735" y="14799945"/>
            <a:ext cx="716280" cy="405765"/>
          </a:xfrm>
          <a:prstGeom prst="rect">
            <a:avLst/>
          </a:prstGeom>
          <a:noFill/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3B18377F-6BBE-410F-B995-B0CBCE33738A}"/>
              </a:ext>
            </a:extLst>
          </xdr:cNvPr>
          <xdr:cNvSpPr/>
        </xdr:nvSpPr>
        <xdr:spPr>
          <a:xfrm>
            <a:off x="6238875" y="15401925"/>
            <a:ext cx="716280" cy="1685925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1EC32F9F-7D6E-4E88-82FF-8DBFF51FAC95}"/>
              </a:ext>
            </a:extLst>
          </xdr:cNvPr>
          <xdr:cNvGrpSpPr/>
        </xdr:nvGrpSpPr>
        <xdr:grpSpPr>
          <a:xfrm>
            <a:off x="5499735" y="14889470"/>
            <a:ext cx="716280" cy="254446"/>
            <a:chOff x="7734300" y="8587740"/>
            <a:chExt cx="716280" cy="344280"/>
          </a:xfrm>
        </xdr:grpSpPr>
        <xdr:cxnSp macro="">
          <xdr:nvCxnSpPr>
            <xdr:cNvPr id="53" name="Straight Arrow Connector 52">
              <a:extLst>
                <a:ext uri="{FF2B5EF4-FFF2-40B4-BE49-F238E27FC236}">
                  <a16:creationId xmlns:a16="http://schemas.microsoft.com/office/drawing/2014/main" id="{48171EEA-E719-478E-96E7-06617630CCF2}"/>
                </a:ext>
              </a:extLst>
            </xdr:cNvPr>
            <xdr:cNvCxnSpPr/>
          </xdr:nvCxnSpPr>
          <xdr:spPr>
            <a:xfrm>
              <a:off x="7734300" y="8587740"/>
              <a:ext cx="701040" cy="0"/>
            </a:xfrm>
            <a:prstGeom prst="straightConnector1">
              <a:avLst/>
            </a:prstGeom>
            <a:ln>
              <a:solidFill>
                <a:schemeClr val="bg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Straight Arrow Connector 53">
              <a:extLst>
                <a:ext uri="{FF2B5EF4-FFF2-40B4-BE49-F238E27FC236}">
                  <a16:creationId xmlns:a16="http://schemas.microsoft.com/office/drawing/2014/main" id="{1ACA023A-95C6-43E6-85DA-746E92CBC752}"/>
                </a:ext>
              </a:extLst>
            </xdr:cNvPr>
            <xdr:cNvCxnSpPr/>
          </xdr:nvCxnSpPr>
          <xdr:spPr>
            <a:xfrm>
              <a:off x="7749540" y="8765352"/>
              <a:ext cx="701040" cy="0"/>
            </a:xfrm>
            <a:prstGeom prst="straightConnector1">
              <a:avLst/>
            </a:prstGeom>
            <a:ln>
              <a:solidFill>
                <a:schemeClr val="bg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Straight Arrow Connector 54">
              <a:extLst>
                <a:ext uri="{FF2B5EF4-FFF2-40B4-BE49-F238E27FC236}">
                  <a16:creationId xmlns:a16="http://schemas.microsoft.com/office/drawing/2014/main" id="{6C9CF045-1CAB-4646-B223-3E8679D1F443}"/>
                </a:ext>
              </a:extLst>
            </xdr:cNvPr>
            <xdr:cNvCxnSpPr/>
          </xdr:nvCxnSpPr>
          <xdr:spPr>
            <a:xfrm>
              <a:off x="7749540" y="8932020"/>
              <a:ext cx="701040" cy="0"/>
            </a:xfrm>
            <a:prstGeom prst="straightConnector1">
              <a:avLst/>
            </a:prstGeom>
            <a:ln>
              <a:solidFill>
                <a:schemeClr val="bg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4000F997-087D-475F-9614-C7B896EC7B3B}"/>
              </a:ext>
            </a:extLst>
          </xdr:cNvPr>
          <xdr:cNvGrpSpPr/>
        </xdr:nvGrpSpPr>
        <xdr:grpSpPr>
          <a:xfrm>
            <a:off x="6246495" y="15493364"/>
            <a:ext cx="723900" cy="1481048"/>
            <a:chOff x="8458200" y="9128760"/>
            <a:chExt cx="723900" cy="1371600"/>
          </a:xfrm>
        </xdr:grpSpPr>
        <xdr:cxnSp macro="">
          <xdr:nvCxnSpPr>
            <xdr:cNvPr id="43" name="Straight Arrow Connector 42">
              <a:extLst>
                <a:ext uri="{FF2B5EF4-FFF2-40B4-BE49-F238E27FC236}">
                  <a16:creationId xmlns:a16="http://schemas.microsoft.com/office/drawing/2014/main" id="{F510423E-EF67-47AB-B40E-396D855432E0}"/>
                </a:ext>
              </a:extLst>
            </xdr:cNvPr>
            <xdr:cNvCxnSpPr/>
          </xdr:nvCxnSpPr>
          <xdr:spPr>
            <a:xfrm flipH="1">
              <a:off x="8458200" y="91287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Straight Arrow Connector 43">
              <a:extLst>
                <a:ext uri="{FF2B5EF4-FFF2-40B4-BE49-F238E27FC236}">
                  <a16:creationId xmlns:a16="http://schemas.microsoft.com/office/drawing/2014/main" id="{CFCEFC52-9B8D-4292-AB84-525DCC7F2DA7}"/>
                </a:ext>
              </a:extLst>
            </xdr:cNvPr>
            <xdr:cNvCxnSpPr/>
          </xdr:nvCxnSpPr>
          <xdr:spPr>
            <a:xfrm flipH="1">
              <a:off x="8465820" y="92811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" name="Straight Arrow Connector 44">
              <a:extLst>
                <a:ext uri="{FF2B5EF4-FFF2-40B4-BE49-F238E27FC236}">
                  <a16:creationId xmlns:a16="http://schemas.microsoft.com/office/drawing/2014/main" id="{769E06BC-4D3D-4BB2-B6AE-1609BF78F9A7}"/>
                </a:ext>
              </a:extLst>
            </xdr:cNvPr>
            <xdr:cNvCxnSpPr/>
          </xdr:nvCxnSpPr>
          <xdr:spPr>
            <a:xfrm flipH="1">
              <a:off x="8473440" y="94335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Straight Arrow Connector 45">
              <a:extLst>
                <a:ext uri="{FF2B5EF4-FFF2-40B4-BE49-F238E27FC236}">
                  <a16:creationId xmlns:a16="http://schemas.microsoft.com/office/drawing/2014/main" id="{1391F950-7DAF-409C-8645-E322875FA372}"/>
                </a:ext>
              </a:extLst>
            </xdr:cNvPr>
            <xdr:cNvCxnSpPr/>
          </xdr:nvCxnSpPr>
          <xdr:spPr>
            <a:xfrm flipH="1">
              <a:off x="8481060" y="95859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Straight Arrow Connector 46">
              <a:extLst>
                <a:ext uri="{FF2B5EF4-FFF2-40B4-BE49-F238E27FC236}">
                  <a16:creationId xmlns:a16="http://schemas.microsoft.com/office/drawing/2014/main" id="{44AD645F-F3E3-4B03-A274-2205FACB9768}"/>
                </a:ext>
              </a:extLst>
            </xdr:cNvPr>
            <xdr:cNvCxnSpPr/>
          </xdr:nvCxnSpPr>
          <xdr:spPr>
            <a:xfrm flipH="1">
              <a:off x="8473440" y="97383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Straight Arrow Connector 47">
              <a:extLst>
                <a:ext uri="{FF2B5EF4-FFF2-40B4-BE49-F238E27FC236}">
                  <a16:creationId xmlns:a16="http://schemas.microsoft.com/office/drawing/2014/main" id="{BBED8ED8-C1C0-4D33-A649-BEEE771FC7DE}"/>
                </a:ext>
              </a:extLst>
            </xdr:cNvPr>
            <xdr:cNvCxnSpPr/>
          </xdr:nvCxnSpPr>
          <xdr:spPr>
            <a:xfrm flipH="1">
              <a:off x="8465820" y="98907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Straight Arrow Connector 48">
              <a:extLst>
                <a:ext uri="{FF2B5EF4-FFF2-40B4-BE49-F238E27FC236}">
                  <a16:creationId xmlns:a16="http://schemas.microsoft.com/office/drawing/2014/main" id="{41B2435E-85E2-43F9-AE76-2296B0FB595B}"/>
                </a:ext>
              </a:extLst>
            </xdr:cNvPr>
            <xdr:cNvCxnSpPr/>
          </xdr:nvCxnSpPr>
          <xdr:spPr>
            <a:xfrm flipH="1">
              <a:off x="8465820" y="100431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Straight Arrow Connector 49">
              <a:extLst>
                <a:ext uri="{FF2B5EF4-FFF2-40B4-BE49-F238E27FC236}">
                  <a16:creationId xmlns:a16="http://schemas.microsoft.com/office/drawing/2014/main" id="{58F797AF-E3F6-4565-9B6F-DADDC42C5D3A}"/>
                </a:ext>
              </a:extLst>
            </xdr:cNvPr>
            <xdr:cNvCxnSpPr/>
          </xdr:nvCxnSpPr>
          <xdr:spPr>
            <a:xfrm flipH="1">
              <a:off x="8465820" y="101955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Straight Arrow Connector 50">
              <a:extLst>
                <a:ext uri="{FF2B5EF4-FFF2-40B4-BE49-F238E27FC236}">
                  <a16:creationId xmlns:a16="http://schemas.microsoft.com/office/drawing/2014/main" id="{D18C62DF-D50B-4E4F-B875-DD074D9BD7CA}"/>
                </a:ext>
              </a:extLst>
            </xdr:cNvPr>
            <xdr:cNvCxnSpPr/>
          </xdr:nvCxnSpPr>
          <xdr:spPr>
            <a:xfrm flipH="1">
              <a:off x="8465820" y="103479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Straight Arrow Connector 51">
              <a:extLst>
                <a:ext uri="{FF2B5EF4-FFF2-40B4-BE49-F238E27FC236}">
                  <a16:creationId xmlns:a16="http://schemas.microsoft.com/office/drawing/2014/main" id="{56EC4F7A-BE94-4901-A665-DC615230D913}"/>
                </a:ext>
              </a:extLst>
            </xdr:cNvPr>
            <xdr:cNvCxnSpPr/>
          </xdr:nvCxnSpPr>
          <xdr:spPr>
            <a:xfrm flipH="1">
              <a:off x="8465820" y="10500360"/>
              <a:ext cx="70104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FD4613D1-12AD-48F8-B9D3-8FE771FBA9D4}"/>
              </a:ext>
            </a:extLst>
          </xdr:cNvPr>
          <xdr:cNvCxnSpPr/>
        </xdr:nvCxnSpPr>
        <xdr:spPr>
          <a:xfrm>
            <a:off x="5362575" y="14761845"/>
            <a:ext cx="0" cy="443865"/>
          </a:xfrm>
          <a:prstGeom prst="straightConnector1">
            <a:avLst/>
          </a:prstGeom>
          <a:ln>
            <a:solidFill>
              <a:schemeClr val="bg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B6064BC-CA18-4BE7-A0DC-B24B3135E66F}"/>
              </a:ext>
            </a:extLst>
          </xdr:cNvPr>
          <xdr:cNvSpPr/>
        </xdr:nvSpPr>
        <xdr:spPr>
          <a:xfrm>
            <a:off x="5164455" y="14799945"/>
            <a:ext cx="236220" cy="33718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y</a:t>
            </a:r>
          </a:p>
        </xdr:txBody>
      </xdr: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39" name="TextBox 38">
                <a:extLst>
                  <a:ext uri="{FF2B5EF4-FFF2-40B4-BE49-F238E27FC236}">
                    <a16:creationId xmlns:a16="http://schemas.microsoft.com/office/drawing/2014/main" id="{D681997A-C410-40BE-8E1F-7A61B78B0C53}"/>
                  </a:ext>
                </a:extLst>
              </xdr:cNvPr>
              <xdr:cNvSpPr txBox="1"/>
            </xdr:nvSpPr>
            <xdr:spPr>
              <a:xfrm>
                <a:off x="5293994" y="17449801"/>
                <a:ext cx="2521740" cy="23647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r>
                  <a:rPr lang="en-US" sz="1100" b="0" i="0">
                    <a:latin typeface="+mn-lt"/>
                  </a:rPr>
                  <a:t>C=(</a:t>
                </a:r>
                <a14:m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85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812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𝑓𝑐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a14:m>
                <a:endParaRPr lang="en-US" sz="1100"/>
              </a:p>
            </xdr:txBody>
          </xdr:sp>
        </mc:Choice>
        <mc:Fallback xmlns="">
          <xdr:sp macro="" textlink="">
            <xdr:nvSpPr>
              <xdr:cNvPr id="39" name="TextBox 38">
                <a:extLst>
                  <a:ext uri="{FF2B5EF4-FFF2-40B4-BE49-F238E27FC236}">
                    <a16:creationId xmlns:a16="http://schemas.microsoft.com/office/drawing/2014/main" id="{D681997A-C410-40BE-8E1F-7A61B78B0C53}"/>
                  </a:ext>
                </a:extLst>
              </xdr:cNvPr>
              <xdr:cNvSpPr txBox="1"/>
            </xdr:nvSpPr>
            <xdr:spPr>
              <a:xfrm>
                <a:off x="5293994" y="17449801"/>
                <a:ext cx="2521740" cy="23647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r>
                  <a:rPr lang="en-US" sz="1100" b="0" i="0">
                    <a:latin typeface="+mn-lt"/>
                  </a:rPr>
                  <a:t>C=(</a:t>
                </a:r>
                <a:r>
                  <a:rPr lang="en-US" sz="1100" b="0" i="0">
                    <a:latin typeface="Cambria Math" panose="02040503050406030204" pitchFamily="18" charset="0"/>
                  </a:rPr>
                  <a:t>(</a:t>
                </a:r>
                <a:r>
                  <a:rPr lang="fa-IR" sz="1100" b="0" i="0">
                    <a:latin typeface="Cambria Math" panose="02040503050406030204" pitchFamily="18" charset="0"/>
                  </a:rPr>
                  <a:t>0.85∗0.812∗</a:t>
                </a:r>
                <a:r>
                  <a:rPr lang="en-US" sz="1100" b="0" i="0">
                    <a:latin typeface="Cambria Math" panose="02040503050406030204" pitchFamily="18" charset="0"/>
                  </a:rPr>
                  <a:t>𝑓𝑐)∗𝑏𝑒∗𝑦)</a:t>
                </a:r>
                <a:endParaRPr lang="en-US" sz="1100"/>
              </a:p>
            </xdr:txBody>
          </xdr:sp>
        </mc:Fallback>
      </mc:AlternateContent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6E0807C-6374-4780-80CB-02FBF2D1FA47}"/>
              </a:ext>
            </a:extLst>
          </xdr:cNvPr>
          <xdr:cNvSpPr txBox="1"/>
        </xdr:nvSpPr>
        <xdr:spPr>
          <a:xfrm>
            <a:off x="5293994" y="17626965"/>
            <a:ext cx="780778" cy="234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r>
              <a:rPr lang="en-US" sz="1100" b="0" i="0">
                <a:latin typeface="+mn-lt"/>
              </a:rPr>
              <a:t>T=As*fy</a:t>
            </a:r>
            <a:endParaRPr lang="en-US" sz="1100"/>
          </a:p>
        </xdr:txBody>
      </xdr: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BCEC4DF3-8A3F-4087-9E51-20DB4FF98C01}"/>
              </a:ext>
            </a:extLst>
          </xdr:cNvPr>
          <xdr:cNvCxnSpPr/>
        </xdr:nvCxnSpPr>
        <xdr:spPr>
          <a:xfrm>
            <a:off x="4669155" y="15205710"/>
            <a:ext cx="2628900" cy="0"/>
          </a:xfrm>
          <a:prstGeom prst="line">
            <a:avLst/>
          </a:prstGeom>
          <a:ln w="12700">
            <a:solidFill>
              <a:srgbClr val="FFFF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C2CE608C-8D0F-4F87-80C4-6AAFCF462CF4}"/>
              </a:ext>
            </a:extLst>
          </xdr:cNvPr>
          <xdr:cNvSpPr/>
        </xdr:nvSpPr>
        <xdr:spPr>
          <a:xfrm>
            <a:off x="7298055" y="15003780"/>
            <a:ext cx="548640" cy="3448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P.N.A</a:t>
            </a:r>
          </a:p>
        </xdr:txBody>
      </xdr:sp>
    </xdr:grpSp>
    <xdr:clientData/>
  </xdr:twoCellAnchor>
  <xdr:twoCellAnchor>
    <xdr:from>
      <xdr:col>2</xdr:col>
      <xdr:colOff>22142</xdr:colOff>
      <xdr:row>118</xdr:row>
      <xdr:rowOff>171751</xdr:rowOff>
    </xdr:from>
    <xdr:to>
      <xdr:col>2</xdr:col>
      <xdr:colOff>2675284</xdr:colOff>
      <xdr:row>129</xdr:row>
      <xdr:rowOff>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A0E10C29-DF6D-4D5B-908C-915C3BE12072}"/>
            </a:ext>
          </a:extLst>
        </xdr:cNvPr>
        <xdr:cNvGrpSpPr/>
      </xdr:nvGrpSpPr>
      <xdr:grpSpPr>
        <a:xfrm>
          <a:off x="535664" y="27371838"/>
          <a:ext cx="2653142" cy="2197075"/>
          <a:chOff x="1084782" y="14792626"/>
          <a:chExt cx="3280196" cy="3126097"/>
        </a:xfrm>
      </xdr:grpSpPr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E1BCB2AA-BF3E-42F4-836A-25EED8DFB178}"/>
              </a:ext>
            </a:extLst>
          </xdr:cNvPr>
          <xdr:cNvSpPr txBox="1"/>
        </xdr:nvSpPr>
        <xdr:spPr>
          <a:xfrm>
            <a:off x="1887855" y="17674590"/>
            <a:ext cx="726055" cy="2441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r>
              <a:rPr lang="en-US" sz="1100" b="0" i="0">
                <a:latin typeface="+mn-lt"/>
              </a:rPr>
              <a:t>T=As*fy</a:t>
            </a:r>
            <a:endParaRPr lang="en-US" sz="1100"/>
          </a:p>
        </xdr:txBody>
      </xdr:sp>
      <xdr:grpSp>
        <xdr:nvGrpSpPr>
          <xdr:cNvPr id="58" name="Group 57">
            <a:extLst>
              <a:ext uri="{FF2B5EF4-FFF2-40B4-BE49-F238E27FC236}">
                <a16:creationId xmlns:a16="http://schemas.microsoft.com/office/drawing/2014/main" id="{48C0DFE3-41D9-46E0-BC78-51DA49C54003}"/>
              </a:ext>
            </a:extLst>
          </xdr:cNvPr>
          <xdr:cNvGrpSpPr/>
        </xdr:nvGrpSpPr>
        <xdr:grpSpPr>
          <a:xfrm>
            <a:off x="1084782" y="14792626"/>
            <a:ext cx="3280196" cy="2914777"/>
            <a:chOff x="7237932" y="12068476"/>
            <a:chExt cx="3280196" cy="2914777"/>
          </a:xfrm>
        </xdr:grpSpPr>
        <xdr:pic>
          <xdr:nvPicPr>
            <xdr:cNvPr id="59" name="Picture 58">
              <a:extLst>
                <a:ext uri="{FF2B5EF4-FFF2-40B4-BE49-F238E27FC236}">
                  <a16:creationId xmlns:a16="http://schemas.microsoft.com/office/drawing/2014/main" id="{61C62172-EB4C-42C8-BBC3-87EAE3292E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963630" y="12296775"/>
              <a:ext cx="1847850" cy="257556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0" name="Rectangle 59">
              <a:extLst>
                <a:ext uri="{FF2B5EF4-FFF2-40B4-BE49-F238E27FC236}">
                  <a16:creationId xmlns:a16="http://schemas.microsoft.com/office/drawing/2014/main" id="{92BB2123-28EF-4BD5-863B-1FE8A53EDE96}"/>
                </a:ext>
              </a:extLst>
            </xdr:cNvPr>
            <xdr:cNvSpPr/>
          </xdr:nvSpPr>
          <xdr:spPr>
            <a:xfrm>
              <a:off x="7237932" y="12070080"/>
              <a:ext cx="3280196" cy="617220"/>
            </a:xfrm>
            <a:prstGeom prst="rect">
              <a:avLst/>
            </a:prstGeom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733C232F-DC1E-4449-B327-3FF702E5BBC9}"/>
                </a:ext>
              </a:extLst>
            </xdr:cNvPr>
            <xdr:cNvSpPr/>
          </xdr:nvSpPr>
          <xdr:spPr>
            <a:xfrm>
              <a:off x="8225790" y="12068476"/>
              <a:ext cx="693420" cy="611204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28B2C13D-5204-44F4-B8BA-AB7AC7743D52}"/>
                </a:ext>
              </a:extLst>
            </xdr:cNvPr>
            <xdr:cNvSpPr/>
          </xdr:nvSpPr>
          <xdr:spPr>
            <a:xfrm>
              <a:off x="8919210" y="12687300"/>
              <a:ext cx="697230" cy="1685925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63" name="Group 62">
              <a:extLst>
                <a:ext uri="{FF2B5EF4-FFF2-40B4-BE49-F238E27FC236}">
                  <a16:creationId xmlns:a16="http://schemas.microsoft.com/office/drawing/2014/main" id="{6E11863B-997B-4205-8A82-2348B8AEC637}"/>
                </a:ext>
              </a:extLst>
            </xdr:cNvPr>
            <xdr:cNvGrpSpPr/>
          </xdr:nvGrpSpPr>
          <xdr:grpSpPr>
            <a:xfrm>
              <a:off x="8225790" y="12167235"/>
              <a:ext cx="693420" cy="459105"/>
              <a:chOff x="7734300" y="8587740"/>
              <a:chExt cx="716280" cy="403860"/>
            </a:xfrm>
          </xdr:grpSpPr>
          <xdr:cxnSp macro="">
            <xdr:nvCxnSpPr>
              <xdr:cNvPr id="78" name="Straight Arrow Connector 77">
                <a:extLst>
                  <a:ext uri="{FF2B5EF4-FFF2-40B4-BE49-F238E27FC236}">
                    <a16:creationId xmlns:a16="http://schemas.microsoft.com/office/drawing/2014/main" id="{A43ABB92-319D-4073-B998-2F526EEA38B2}"/>
                  </a:ext>
                </a:extLst>
              </xdr:cNvPr>
              <xdr:cNvCxnSpPr/>
            </xdr:nvCxnSpPr>
            <xdr:spPr>
              <a:xfrm>
                <a:off x="7734300" y="8587740"/>
                <a:ext cx="701040" cy="0"/>
              </a:xfrm>
              <a:prstGeom prst="straightConnector1">
                <a:avLst/>
              </a:prstGeom>
              <a:ln>
                <a:solidFill>
                  <a:schemeClr val="bg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" name="Straight Arrow Connector 78">
                <a:extLst>
                  <a:ext uri="{FF2B5EF4-FFF2-40B4-BE49-F238E27FC236}">
                    <a16:creationId xmlns:a16="http://schemas.microsoft.com/office/drawing/2014/main" id="{ACCE7719-47E9-4270-BA2C-2E4A4DCBDE2A}"/>
                  </a:ext>
                </a:extLst>
              </xdr:cNvPr>
              <xdr:cNvCxnSpPr/>
            </xdr:nvCxnSpPr>
            <xdr:spPr>
              <a:xfrm>
                <a:off x="7749540" y="8694420"/>
                <a:ext cx="701040" cy="0"/>
              </a:xfrm>
              <a:prstGeom prst="straightConnector1">
                <a:avLst/>
              </a:prstGeom>
              <a:ln>
                <a:solidFill>
                  <a:schemeClr val="bg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" name="Straight Arrow Connector 79">
                <a:extLst>
                  <a:ext uri="{FF2B5EF4-FFF2-40B4-BE49-F238E27FC236}">
                    <a16:creationId xmlns:a16="http://schemas.microsoft.com/office/drawing/2014/main" id="{39D976E4-3A09-4A37-8A8A-9471D5582A66}"/>
                  </a:ext>
                </a:extLst>
              </xdr:cNvPr>
              <xdr:cNvCxnSpPr/>
            </xdr:nvCxnSpPr>
            <xdr:spPr>
              <a:xfrm>
                <a:off x="7749540" y="8801100"/>
                <a:ext cx="701040" cy="0"/>
              </a:xfrm>
              <a:prstGeom prst="straightConnector1">
                <a:avLst/>
              </a:prstGeom>
              <a:ln>
                <a:solidFill>
                  <a:schemeClr val="bg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" name="Straight Arrow Connector 80">
                <a:extLst>
                  <a:ext uri="{FF2B5EF4-FFF2-40B4-BE49-F238E27FC236}">
                    <a16:creationId xmlns:a16="http://schemas.microsoft.com/office/drawing/2014/main" id="{A7E5F40F-2668-4767-804E-A7295D14D38B}"/>
                  </a:ext>
                </a:extLst>
              </xdr:cNvPr>
              <xdr:cNvCxnSpPr/>
            </xdr:nvCxnSpPr>
            <xdr:spPr>
              <a:xfrm>
                <a:off x="7749540" y="8907780"/>
                <a:ext cx="701040" cy="0"/>
              </a:xfrm>
              <a:prstGeom prst="straightConnector1">
                <a:avLst/>
              </a:prstGeom>
              <a:ln>
                <a:solidFill>
                  <a:schemeClr val="bg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" name="Straight Arrow Connector 81">
                <a:extLst>
                  <a:ext uri="{FF2B5EF4-FFF2-40B4-BE49-F238E27FC236}">
                    <a16:creationId xmlns:a16="http://schemas.microsoft.com/office/drawing/2014/main" id="{766B84C9-DA66-442D-80F4-5B7A42699AB1}"/>
                  </a:ext>
                </a:extLst>
              </xdr:cNvPr>
              <xdr:cNvCxnSpPr/>
            </xdr:nvCxnSpPr>
            <xdr:spPr>
              <a:xfrm>
                <a:off x="7749540" y="8991600"/>
                <a:ext cx="701040" cy="0"/>
              </a:xfrm>
              <a:prstGeom prst="straightConnector1">
                <a:avLst/>
              </a:prstGeom>
              <a:ln>
                <a:solidFill>
                  <a:schemeClr val="bg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4" name="Group 63">
              <a:extLst>
                <a:ext uri="{FF2B5EF4-FFF2-40B4-BE49-F238E27FC236}">
                  <a16:creationId xmlns:a16="http://schemas.microsoft.com/office/drawing/2014/main" id="{82D81972-5A18-4416-9119-4CB6CF8935AD}"/>
                </a:ext>
              </a:extLst>
            </xdr:cNvPr>
            <xdr:cNvGrpSpPr/>
          </xdr:nvGrpSpPr>
          <xdr:grpSpPr>
            <a:xfrm>
              <a:off x="8926830" y="12778741"/>
              <a:ext cx="704850" cy="1487206"/>
              <a:chOff x="8458200" y="9128760"/>
              <a:chExt cx="723900" cy="1371600"/>
            </a:xfrm>
          </xdr:grpSpPr>
          <xdr:cxnSp macro="">
            <xdr:nvCxnSpPr>
              <xdr:cNvPr id="68" name="Straight Arrow Connector 67">
                <a:extLst>
                  <a:ext uri="{FF2B5EF4-FFF2-40B4-BE49-F238E27FC236}">
                    <a16:creationId xmlns:a16="http://schemas.microsoft.com/office/drawing/2014/main" id="{4B1AD432-226B-402E-9C48-86CAB4B903D9}"/>
                  </a:ext>
                </a:extLst>
              </xdr:cNvPr>
              <xdr:cNvCxnSpPr/>
            </xdr:nvCxnSpPr>
            <xdr:spPr>
              <a:xfrm flipH="1">
                <a:off x="8458200" y="91287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9" name="Straight Arrow Connector 68">
                <a:extLst>
                  <a:ext uri="{FF2B5EF4-FFF2-40B4-BE49-F238E27FC236}">
                    <a16:creationId xmlns:a16="http://schemas.microsoft.com/office/drawing/2014/main" id="{D2A6E424-0500-434D-8145-BC1785CFB607}"/>
                  </a:ext>
                </a:extLst>
              </xdr:cNvPr>
              <xdr:cNvCxnSpPr/>
            </xdr:nvCxnSpPr>
            <xdr:spPr>
              <a:xfrm flipH="1">
                <a:off x="8465820" y="92811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0" name="Straight Arrow Connector 69">
                <a:extLst>
                  <a:ext uri="{FF2B5EF4-FFF2-40B4-BE49-F238E27FC236}">
                    <a16:creationId xmlns:a16="http://schemas.microsoft.com/office/drawing/2014/main" id="{84FAF49C-0CA3-49BB-9496-805DC43CD03E}"/>
                  </a:ext>
                </a:extLst>
              </xdr:cNvPr>
              <xdr:cNvCxnSpPr/>
            </xdr:nvCxnSpPr>
            <xdr:spPr>
              <a:xfrm flipH="1">
                <a:off x="8473440" y="94335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1" name="Straight Arrow Connector 70">
                <a:extLst>
                  <a:ext uri="{FF2B5EF4-FFF2-40B4-BE49-F238E27FC236}">
                    <a16:creationId xmlns:a16="http://schemas.microsoft.com/office/drawing/2014/main" id="{A8953087-B699-4AB2-AD4D-5CC96140CAC7}"/>
                  </a:ext>
                </a:extLst>
              </xdr:cNvPr>
              <xdr:cNvCxnSpPr/>
            </xdr:nvCxnSpPr>
            <xdr:spPr>
              <a:xfrm flipH="1">
                <a:off x="8481060" y="95859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" name="Straight Arrow Connector 71">
                <a:extLst>
                  <a:ext uri="{FF2B5EF4-FFF2-40B4-BE49-F238E27FC236}">
                    <a16:creationId xmlns:a16="http://schemas.microsoft.com/office/drawing/2014/main" id="{C8F6FC36-AFCD-4299-8307-CFC4857D2186}"/>
                  </a:ext>
                </a:extLst>
              </xdr:cNvPr>
              <xdr:cNvCxnSpPr/>
            </xdr:nvCxnSpPr>
            <xdr:spPr>
              <a:xfrm flipH="1">
                <a:off x="8473440" y="97383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" name="Straight Arrow Connector 72">
                <a:extLst>
                  <a:ext uri="{FF2B5EF4-FFF2-40B4-BE49-F238E27FC236}">
                    <a16:creationId xmlns:a16="http://schemas.microsoft.com/office/drawing/2014/main" id="{EEC13319-B198-4D15-A7AA-5BE8C111D426}"/>
                  </a:ext>
                </a:extLst>
              </xdr:cNvPr>
              <xdr:cNvCxnSpPr/>
            </xdr:nvCxnSpPr>
            <xdr:spPr>
              <a:xfrm flipH="1">
                <a:off x="8465820" y="98907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" name="Straight Arrow Connector 73">
                <a:extLst>
                  <a:ext uri="{FF2B5EF4-FFF2-40B4-BE49-F238E27FC236}">
                    <a16:creationId xmlns:a16="http://schemas.microsoft.com/office/drawing/2014/main" id="{5E1C5DDD-91A4-453D-BEFC-B121E418E8E4}"/>
                  </a:ext>
                </a:extLst>
              </xdr:cNvPr>
              <xdr:cNvCxnSpPr/>
            </xdr:nvCxnSpPr>
            <xdr:spPr>
              <a:xfrm flipH="1">
                <a:off x="8465820" y="100431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" name="Straight Arrow Connector 74">
                <a:extLst>
                  <a:ext uri="{FF2B5EF4-FFF2-40B4-BE49-F238E27FC236}">
                    <a16:creationId xmlns:a16="http://schemas.microsoft.com/office/drawing/2014/main" id="{A2494EAA-FE90-460E-A58F-E2382B26466B}"/>
                  </a:ext>
                </a:extLst>
              </xdr:cNvPr>
              <xdr:cNvCxnSpPr/>
            </xdr:nvCxnSpPr>
            <xdr:spPr>
              <a:xfrm flipH="1">
                <a:off x="8465820" y="101955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6" name="Straight Arrow Connector 75">
                <a:extLst>
                  <a:ext uri="{FF2B5EF4-FFF2-40B4-BE49-F238E27FC236}">
                    <a16:creationId xmlns:a16="http://schemas.microsoft.com/office/drawing/2014/main" id="{51DA2B38-57F7-49C7-9A9A-52EA326BDE37}"/>
                  </a:ext>
                </a:extLst>
              </xdr:cNvPr>
              <xdr:cNvCxnSpPr/>
            </xdr:nvCxnSpPr>
            <xdr:spPr>
              <a:xfrm flipH="1">
                <a:off x="8465820" y="103479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" name="Straight Arrow Connector 76">
                <a:extLst>
                  <a:ext uri="{FF2B5EF4-FFF2-40B4-BE49-F238E27FC236}">
                    <a16:creationId xmlns:a16="http://schemas.microsoft.com/office/drawing/2014/main" id="{E2F8396C-CAB6-4852-AA67-B63420513767}"/>
                  </a:ext>
                </a:extLst>
              </xdr:cNvPr>
              <xdr:cNvCxnSpPr/>
            </xdr:nvCxnSpPr>
            <xdr:spPr>
              <a:xfrm flipH="1">
                <a:off x="8465820" y="10500360"/>
                <a:ext cx="70104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5" name="TextBox 64">
                  <a:extLst>
                    <a:ext uri="{FF2B5EF4-FFF2-40B4-BE49-F238E27FC236}">
                      <a16:creationId xmlns:a16="http://schemas.microsoft.com/office/drawing/2014/main" id="{BC8DB5D5-8AF3-411E-9D4C-28E2EA6186BD}"/>
                    </a:ext>
                  </a:extLst>
                </xdr:cNvPr>
                <xdr:cNvSpPr txBox="1"/>
              </xdr:nvSpPr>
              <xdr:spPr>
                <a:xfrm>
                  <a:off x="8984357" y="12251054"/>
                  <a:ext cx="1431366" cy="24413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0" anchor="t">
                  <a:spAutoFit/>
                </a:bodyPr>
                <a:lstStyle/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85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812</m:t>
                        </m:r>
                        <m:r>
                          <a:rPr lang="fa-IR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𝑓𝑐</m:t>
                        </m:r>
                      </m:oMath>
                    </m:oMathPara>
                  </a14:m>
                  <a:endParaRPr lang="en-US" sz="1100"/>
                </a:p>
              </xdr:txBody>
            </xdr:sp>
          </mc:Choice>
          <mc:Fallback xmlns="">
            <xdr:sp macro="" textlink="">
              <xdr:nvSpPr>
                <xdr:cNvPr id="65" name="TextBox 64">
                  <a:extLst>
                    <a:ext uri="{FF2B5EF4-FFF2-40B4-BE49-F238E27FC236}">
                      <a16:creationId xmlns:a16="http://schemas.microsoft.com/office/drawing/2014/main" id="{BC8DB5D5-8AF3-411E-9D4C-28E2EA6186BD}"/>
                    </a:ext>
                  </a:extLst>
                </xdr:cNvPr>
                <xdr:cNvSpPr txBox="1"/>
              </xdr:nvSpPr>
              <xdr:spPr>
                <a:xfrm>
                  <a:off x="8984357" y="12251054"/>
                  <a:ext cx="1431366" cy="24413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0" anchor="t">
                  <a:spAutoFit/>
                </a:bodyPr>
                <a:lstStyle/>
                <a:p>
                  <a:pPr/>
                  <a:r>
                    <a:rPr lang="fa-IR" sz="1100" b="0" i="0">
                      <a:latin typeface="Cambria Math" panose="02040503050406030204" pitchFamily="18" charset="0"/>
                    </a:rPr>
                    <a:t>0.85∗0.812∗</a:t>
                  </a:r>
                  <a:r>
                    <a:rPr lang="en-US" sz="1100" b="0" i="0">
                      <a:latin typeface="Cambria Math" panose="02040503050406030204" pitchFamily="18" charset="0"/>
                    </a:rPr>
                    <a:t>𝑓𝑐</a:t>
                  </a:r>
                  <a:endParaRPr lang="en-US" sz="1100"/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66" name="TextBox 65">
                  <a:extLst>
                    <a:ext uri="{FF2B5EF4-FFF2-40B4-BE49-F238E27FC236}">
                      <a16:creationId xmlns:a16="http://schemas.microsoft.com/office/drawing/2014/main" id="{41D10BD3-869D-4103-A59E-317BC87EED7D}"/>
                    </a:ext>
                  </a:extLst>
                </xdr:cNvPr>
                <xdr:cNvSpPr txBox="1"/>
              </xdr:nvSpPr>
              <xdr:spPr>
                <a:xfrm>
                  <a:off x="8050530" y="14735175"/>
                  <a:ext cx="2416396" cy="24807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0" anchor="t">
                  <a:spAutoFit/>
                </a:bodyPr>
                <a:lstStyle/>
                <a:p>
                  <a:r>
                    <a:rPr lang="en-US" sz="1100" b="0" i="0">
                      <a:latin typeface="+mn-lt"/>
                    </a:rPr>
                    <a:t>C=(</a:t>
                  </a:r>
                  <a14:m>
                    <m:oMath xmlns:m="http://schemas.openxmlformats.org/officeDocument/2006/math">
                      <m:d>
                        <m:d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0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.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85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0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.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812</m:t>
                          </m:r>
                          <m:r>
                            <a:rPr lang="fa-IR" sz="1100" b="0" i="1">
                              <a:latin typeface="Cambria Math" panose="02040503050406030204" pitchFamily="18" charset="0"/>
                            </a:rPr>
                            <m:t>∗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𝑓𝑐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𝑏𝑒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∗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)</m:t>
                      </m:r>
                    </m:oMath>
                  </a14:m>
                  <a:endParaRPr lang="en-US" sz="1100"/>
                </a:p>
              </xdr:txBody>
            </xdr:sp>
          </mc:Choice>
          <mc:Fallback xmlns="">
            <xdr:sp macro="" textlink="">
              <xdr:nvSpPr>
                <xdr:cNvPr id="66" name="TextBox 65">
                  <a:extLst>
                    <a:ext uri="{FF2B5EF4-FFF2-40B4-BE49-F238E27FC236}">
                      <a16:creationId xmlns:a16="http://schemas.microsoft.com/office/drawing/2014/main" id="{41D10BD3-869D-4103-A59E-317BC87EED7D}"/>
                    </a:ext>
                  </a:extLst>
                </xdr:cNvPr>
                <xdr:cNvSpPr txBox="1"/>
              </xdr:nvSpPr>
              <xdr:spPr>
                <a:xfrm>
                  <a:off x="8050530" y="14735175"/>
                  <a:ext cx="2416396" cy="248078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lIns="0" tIns="0" rIns="0" bIns="0" rtlCol="0" anchor="t">
                  <a:spAutoFit/>
                </a:bodyPr>
                <a:lstStyle/>
                <a:p>
                  <a:r>
                    <a:rPr lang="en-US" sz="1100" b="0" i="0">
                      <a:latin typeface="+mn-lt"/>
                    </a:rPr>
                    <a:t>C=(</a:t>
                  </a:r>
                  <a:r>
                    <a:rPr lang="en-US" sz="1100" b="0" i="0">
                      <a:latin typeface="Cambria Math" panose="02040503050406030204" pitchFamily="18" charset="0"/>
                    </a:rPr>
                    <a:t>(</a:t>
                  </a:r>
                  <a:r>
                    <a:rPr lang="fa-IR" sz="1100" b="0" i="0">
                      <a:latin typeface="Cambria Math" panose="02040503050406030204" pitchFamily="18" charset="0"/>
                    </a:rPr>
                    <a:t>0.85∗0.812∗</a:t>
                  </a:r>
                  <a:r>
                    <a:rPr lang="en-US" sz="1100" b="0" i="0">
                      <a:latin typeface="Cambria Math" panose="02040503050406030204" pitchFamily="18" charset="0"/>
                    </a:rPr>
                    <a:t>𝑓𝑐)∗𝑏𝑒∗𝑡)</a:t>
                  </a:r>
                  <a:endParaRPr lang="en-US" sz="1100"/>
                </a:p>
              </xdr:txBody>
            </xdr:sp>
          </mc:Fallback>
        </mc:AlternateContent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7E2C25EE-8446-4513-870D-9B705E79BD9A}"/>
                </a:ext>
              </a:extLst>
            </xdr:cNvPr>
            <xdr:cNvSpPr txBox="1"/>
          </xdr:nvSpPr>
          <xdr:spPr>
            <a:xfrm>
              <a:off x="9683386" y="13557615"/>
              <a:ext cx="527534" cy="244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+mn-lt"/>
                </a:rPr>
                <a:t>As*fy</a:t>
              </a:r>
              <a:endParaRPr lang="en-US" sz="1100"/>
            </a:p>
          </xdr:txBody>
        </xdr:sp>
      </xdr:grpSp>
    </xdr:grpSp>
    <xdr:clientData/>
  </xdr:twoCellAnchor>
  <xdr:oneCellAnchor>
    <xdr:from>
      <xdr:col>2</xdr:col>
      <xdr:colOff>1181100</xdr:colOff>
      <xdr:row>208</xdr:row>
      <xdr:rowOff>176212</xdr:rowOff>
    </xdr:from>
    <xdr:ext cx="1455591" cy="3390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90C7C1DD-F2DD-4EB5-98FE-F741CD904411}"/>
                </a:ext>
              </a:extLst>
            </xdr:cNvPr>
            <xdr:cNvSpPr txBox="1"/>
          </xdr:nvSpPr>
          <xdr:spPr>
            <a:xfrm>
              <a:off x="1695450" y="31827787"/>
              <a:ext cx="1455591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384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𝐸𝐼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&lt;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90C7C1DD-F2DD-4EB5-98FE-F741CD904411}"/>
                </a:ext>
              </a:extLst>
            </xdr:cNvPr>
            <xdr:cNvSpPr txBox="1"/>
          </xdr:nvSpPr>
          <xdr:spPr>
            <a:xfrm>
              <a:off x="1695450" y="31827787"/>
              <a:ext cx="1455591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𝛿_(𝑛𝑐 (𝐷1))=(5𝑞_𝐷 𝐿^4)/384𝐸𝐼&lt;𝐿/360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4</xdr:col>
      <xdr:colOff>240196</xdr:colOff>
      <xdr:row>29</xdr:row>
      <xdr:rowOff>100097</xdr:rowOff>
    </xdr:from>
    <xdr:to>
      <xdr:col>9</xdr:col>
      <xdr:colOff>367156</xdr:colOff>
      <xdr:row>39</xdr:row>
      <xdr:rowOff>41413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214B0C78-02BE-49CD-B70B-2BA8559D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3609" y="5235314"/>
          <a:ext cx="3779590" cy="2260447"/>
        </a:xfrm>
        <a:prstGeom prst="rect">
          <a:avLst/>
        </a:prstGeom>
      </xdr:spPr>
    </xdr:pic>
    <xdr:clientData/>
  </xdr:twoCellAnchor>
  <xdr:oneCellAnchor>
    <xdr:from>
      <xdr:col>2</xdr:col>
      <xdr:colOff>1973747</xdr:colOff>
      <xdr:row>90</xdr:row>
      <xdr:rowOff>31474</xdr:rowOff>
    </xdr:from>
    <xdr:ext cx="1166923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4321C4A9-B33C-4ABA-83E7-EB7343095590}"/>
                </a:ext>
              </a:extLst>
            </xdr:cNvPr>
            <xdr:cNvSpPr txBox="1"/>
          </xdr:nvSpPr>
          <xdr:spPr>
            <a:xfrm>
              <a:off x="2488097" y="13852249"/>
              <a:ext cx="1166923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6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𝑣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4321C4A9-B33C-4ABA-83E7-EB7343095590}"/>
                </a:ext>
              </a:extLst>
            </xdr:cNvPr>
            <xdr:cNvSpPr txBox="1"/>
          </xdr:nvSpPr>
          <xdr:spPr>
            <a:xfrm>
              <a:off x="2488097" y="13852249"/>
              <a:ext cx="1166923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𝑉_𝑛=0.6𝑓_𝑦 𝐴_𝑤 𝐶_𝑣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1832941</xdr:colOff>
      <xdr:row>80</xdr:row>
      <xdr:rowOff>14909</xdr:rowOff>
    </xdr:from>
    <xdr:ext cx="1334789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37746C37-048F-4D91-9AC1-F518E9FA394C}"/>
                </a:ext>
              </a:extLst>
            </xdr:cNvPr>
            <xdr:cNvSpPr txBox="1"/>
          </xdr:nvSpPr>
          <xdr:spPr>
            <a:xfrm>
              <a:off x="2347291" y="11483009"/>
              <a:ext cx="1334789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9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×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1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3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𝑍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&gt;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37746C37-048F-4D91-9AC1-F518E9FA394C}"/>
                </a:ext>
              </a:extLst>
            </xdr:cNvPr>
            <xdr:cNvSpPr txBox="1"/>
          </xdr:nvSpPr>
          <xdr:spPr>
            <a:xfrm>
              <a:off x="2347291" y="11483009"/>
              <a:ext cx="1334789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0.9×1.3𝑍𝑓_𝑦&gt;𝑀_𝑢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2155963</xdr:colOff>
      <xdr:row>70</xdr:row>
      <xdr:rowOff>23192</xdr:rowOff>
    </xdr:from>
    <xdr:ext cx="1109919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89E61752-A016-4A22-9E97-AC146D320326}"/>
                </a:ext>
              </a:extLst>
            </xdr:cNvPr>
            <xdr:cNvSpPr txBox="1"/>
          </xdr:nvSpPr>
          <xdr:spPr>
            <a:xfrm>
              <a:off x="2670313" y="10586417"/>
              <a:ext cx="1109919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8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89E61752-A016-4A22-9E97-AC146D320326}"/>
                </a:ext>
              </a:extLst>
            </xdr:cNvPr>
            <xdr:cNvSpPr txBox="1"/>
          </xdr:nvSpPr>
          <xdr:spPr>
            <a:xfrm>
              <a:off x="2670313" y="10586417"/>
              <a:ext cx="1109919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𝑀_𝑢=𝑊_𝑢 𝐿^2/8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2261152</xdr:colOff>
      <xdr:row>69</xdr:row>
      <xdr:rowOff>0</xdr:rowOff>
    </xdr:from>
    <xdr:ext cx="99892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A1850BA7-F728-4B9B-9D6D-59E3702CAFE7}"/>
                </a:ext>
              </a:extLst>
            </xdr:cNvPr>
            <xdr:cNvSpPr txBox="1"/>
          </xdr:nvSpPr>
          <xdr:spPr>
            <a:xfrm>
              <a:off x="2775502" y="10344150"/>
              <a:ext cx="9989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2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A1850BA7-F728-4B9B-9D6D-59E3702CAFE7}"/>
                </a:ext>
              </a:extLst>
            </xdr:cNvPr>
            <xdr:cNvSpPr txBox="1"/>
          </xdr:nvSpPr>
          <xdr:spPr>
            <a:xfrm>
              <a:off x="2775502" y="10344150"/>
              <a:ext cx="99892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𝑉_𝑢=𝑊_𝑢 𝐿/2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1606827</xdr:colOff>
      <xdr:row>96</xdr:row>
      <xdr:rowOff>41414</xdr:rowOff>
    </xdr:from>
    <xdr:ext cx="148842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E7416BD5-F7D5-4096-896E-BBFBB0E2BF0D}"/>
                </a:ext>
              </a:extLst>
            </xdr:cNvPr>
            <xdr:cNvSpPr txBox="1"/>
          </xdr:nvSpPr>
          <xdr:spPr>
            <a:xfrm>
              <a:off x="2120349" y="15554740"/>
              <a:ext cx="148842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8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9" name="TextBox 88">
              <a:extLst>
                <a:ext uri="{FF2B5EF4-FFF2-40B4-BE49-F238E27FC236}">
                  <a16:creationId xmlns:a16="http://schemas.microsoft.com/office/drawing/2014/main" id="{E7416BD5-F7D5-4096-896E-BBFBB0E2BF0D}"/>
                </a:ext>
              </a:extLst>
            </xdr:cNvPr>
            <xdr:cNvSpPr txBox="1"/>
          </xdr:nvSpPr>
          <xdr:spPr>
            <a:xfrm>
              <a:off x="2120349" y="15554740"/>
              <a:ext cx="148842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𝑀_𝑢=〖(1.4𝑊〗_𝐷1)𝐿^2/8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2037522</xdr:colOff>
      <xdr:row>98</xdr:row>
      <xdr:rowOff>24848</xdr:rowOff>
    </xdr:from>
    <xdr:ext cx="1082283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38843D4B-ACB4-4184-BED6-D0C9B4AF8F6E}"/>
                </a:ext>
              </a:extLst>
            </xdr:cNvPr>
            <xdr:cNvSpPr txBox="1"/>
          </xdr:nvSpPr>
          <xdr:spPr>
            <a:xfrm>
              <a:off x="2551044" y="16002000"/>
              <a:ext cx="1082283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9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𝑍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0" name="TextBox 89">
              <a:extLst>
                <a:ext uri="{FF2B5EF4-FFF2-40B4-BE49-F238E27FC236}">
                  <a16:creationId xmlns:a16="http://schemas.microsoft.com/office/drawing/2014/main" id="{38843D4B-ACB4-4184-BED6-D0C9B4AF8F6E}"/>
                </a:ext>
              </a:extLst>
            </xdr:cNvPr>
            <xdr:cNvSpPr txBox="1"/>
          </xdr:nvSpPr>
          <xdr:spPr>
            <a:xfrm>
              <a:off x="2551044" y="16002000"/>
              <a:ext cx="1082283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𝑀_𝑛=0.9𝑍𝑓_𝑦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1946414</xdr:colOff>
      <xdr:row>105</xdr:row>
      <xdr:rowOff>16566</xdr:rowOff>
    </xdr:from>
    <xdr:ext cx="119943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23991645-03B0-4AD9-8FA8-595730CF0D63}"/>
                </a:ext>
              </a:extLst>
            </xdr:cNvPr>
            <xdr:cNvSpPr txBox="1"/>
          </xdr:nvSpPr>
          <xdr:spPr>
            <a:xfrm>
              <a:off x="2460764" y="16599591"/>
              <a:ext cx="1199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85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p>
                    </m:sSubSup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1" name="TextBox 90">
              <a:extLst>
                <a:ext uri="{FF2B5EF4-FFF2-40B4-BE49-F238E27FC236}">
                  <a16:creationId xmlns:a16="http://schemas.microsoft.com/office/drawing/2014/main" id="{23991645-03B0-4AD9-8FA8-595730CF0D63}"/>
                </a:ext>
              </a:extLst>
            </xdr:cNvPr>
            <xdr:cNvSpPr txBox="1"/>
          </xdr:nvSpPr>
          <xdr:spPr>
            <a:xfrm>
              <a:off x="2460764" y="16599591"/>
              <a:ext cx="1199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𝐶=0.85𝑓_𝑐^′ 𝑏_𝑒 𝑡_𝑐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2294283</xdr:colOff>
      <xdr:row>106</xdr:row>
      <xdr:rowOff>49698</xdr:rowOff>
    </xdr:from>
    <xdr:ext cx="823752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2A417D08-1EFB-4365-8A70-23B9F739A0CB}"/>
                </a:ext>
              </a:extLst>
            </xdr:cNvPr>
            <xdr:cNvSpPr txBox="1"/>
          </xdr:nvSpPr>
          <xdr:spPr>
            <a:xfrm>
              <a:off x="2808633" y="16851798"/>
              <a:ext cx="823752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2" name="TextBox 91">
              <a:extLst>
                <a:ext uri="{FF2B5EF4-FFF2-40B4-BE49-F238E27FC236}">
                  <a16:creationId xmlns:a16="http://schemas.microsoft.com/office/drawing/2014/main" id="{2A417D08-1EFB-4365-8A70-23B9F739A0CB}"/>
                </a:ext>
              </a:extLst>
            </xdr:cNvPr>
            <xdr:cNvSpPr txBox="1"/>
          </xdr:nvSpPr>
          <xdr:spPr>
            <a:xfrm>
              <a:off x="2808633" y="16851798"/>
              <a:ext cx="823752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〖𝑇=𝐴〗_𝑠 𝑓_𝑦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1855305</xdr:colOff>
      <xdr:row>108</xdr:row>
      <xdr:rowOff>24849</xdr:rowOff>
    </xdr:from>
    <xdr:ext cx="1415516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9B9CB22D-29FA-43B1-BA7C-8627BD1B326C}"/>
                </a:ext>
              </a:extLst>
            </xdr:cNvPr>
            <xdr:cNvSpPr txBox="1"/>
          </xdr:nvSpPr>
          <xdr:spPr>
            <a:xfrm>
              <a:off x="2369655" y="17265099"/>
              <a:ext cx="141551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85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p>
                    </m:sSubSup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3" name="TextBox 92">
              <a:extLst>
                <a:ext uri="{FF2B5EF4-FFF2-40B4-BE49-F238E27FC236}">
                  <a16:creationId xmlns:a16="http://schemas.microsoft.com/office/drawing/2014/main" id="{9B9CB22D-29FA-43B1-BA7C-8627BD1B326C}"/>
                </a:ext>
              </a:extLst>
            </xdr:cNvPr>
            <xdr:cNvSpPr txBox="1"/>
          </xdr:nvSpPr>
          <xdr:spPr>
            <a:xfrm>
              <a:off x="2369655" y="17265099"/>
              <a:ext cx="1415516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〖𝑦=𝐴〗_𝑠 𝑓_𝑦/0.85𝑓_𝑐^′ 𝑏_𝑒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1292088</xdr:colOff>
      <xdr:row>111</xdr:row>
      <xdr:rowOff>16564</xdr:rowOff>
    </xdr:from>
    <xdr:ext cx="199772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31143D56-53CD-4C91-831B-06C5D6A44594}"/>
                </a:ext>
              </a:extLst>
            </xdr:cNvPr>
            <xdr:cNvSpPr txBox="1"/>
          </xdr:nvSpPr>
          <xdr:spPr>
            <a:xfrm>
              <a:off x="1806438" y="17914039"/>
              <a:ext cx="19977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−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type m:val="lin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 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4" name="TextBox 93">
              <a:extLst>
                <a:ext uri="{FF2B5EF4-FFF2-40B4-BE49-F238E27FC236}">
                  <a16:creationId xmlns:a16="http://schemas.microsoft.com/office/drawing/2014/main" id="{31143D56-53CD-4C91-831B-06C5D6A44594}"/>
                </a:ext>
              </a:extLst>
            </xdr:cNvPr>
            <xdr:cNvSpPr txBox="1"/>
          </xdr:nvSpPr>
          <xdr:spPr>
            <a:xfrm>
              <a:off x="1806438" y="17914039"/>
              <a:ext cx="19977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𝑀_𝑛=𝑇(𝑑+(𝑡_𝑐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−𝑦)+𝑦∕2)  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1017103</xdr:colOff>
      <xdr:row>186</xdr:row>
      <xdr:rowOff>14909</xdr:rowOff>
    </xdr:from>
    <xdr:ext cx="2205797" cy="2170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28C51BD9-76EA-4704-96FB-209EC774DB77}"/>
                </a:ext>
              </a:extLst>
            </xdr:cNvPr>
            <xdr:cNvSpPr txBox="1"/>
          </xdr:nvSpPr>
          <xdr:spPr>
            <a:xfrm>
              <a:off x="1531453" y="26770634"/>
              <a:ext cx="2205797" cy="2170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𝜑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0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5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𝑠𝑐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′</m:t>
                            </m:r>
                          </m:sup>
                        </m:sSubSup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e>
                    </m:rad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≤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𝑝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𝑠𝑐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𝑢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 →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5" name="TextBox 94">
              <a:extLst>
                <a:ext uri="{FF2B5EF4-FFF2-40B4-BE49-F238E27FC236}">
                  <a16:creationId xmlns:a16="http://schemas.microsoft.com/office/drawing/2014/main" id="{28C51BD9-76EA-4704-96FB-209EC774DB77}"/>
                </a:ext>
              </a:extLst>
            </xdr:cNvPr>
            <xdr:cNvSpPr txBox="1"/>
          </xdr:nvSpPr>
          <xdr:spPr>
            <a:xfrm>
              <a:off x="1531453" y="26770634"/>
              <a:ext cx="2205797" cy="2170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=0.5𝐴_𝑠𝑐 √(𝑓_𝑐^′ 𝐸_𝑐 )≤𝑅_𝑝 𝑅_𝑔 𝐴_𝑠𝑐 𝐹_𝑢   →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226</xdr:row>
      <xdr:rowOff>0</xdr:rowOff>
    </xdr:from>
    <xdr:ext cx="1455591" cy="3390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6" name="TextBox 95">
              <a:extLst>
                <a:ext uri="{FF2B5EF4-FFF2-40B4-BE49-F238E27FC236}">
                  <a16:creationId xmlns:a16="http://schemas.microsoft.com/office/drawing/2014/main" id="{127458BC-58FE-42A0-9279-C20170DC7E0D}"/>
                </a:ext>
              </a:extLst>
            </xdr:cNvPr>
            <xdr:cNvSpPr txBox="1"/>
          </xdr:nvSpPr>
          <xdr:spPr>
            <a:xfrm>
              <a:off x="514350" y="35185350"/>
              <a:ext cx="1455591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384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𝐸𝐼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&lt;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6" name="TextBox 95">
              <a:extLst>
                <a:ext uri="{FF2B5EF4-FFF2-40B4-BE49-F238E27FC236}">
                  <a16:creationId xmlns:a16="http://schemas.microsoft.com/office/drawing/2014/main" id="{127458BC-58FE-42A0-9279-C20170DC7E0D}"/>
                </a:ext>
              </a:extLst>
            </xdr:cNvPr>
            <xdr:cNvSpPr txBox="1"/>
          </xdr:nvSpPr>
          <xdr:spPr>
            <a:xfrm>
              <a:off x="514350" y="35185350"/>
              <a:ext cx="1455591" cy="3390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𝛿_(𝑛𝑐 (𝐷1))=(5𝑞_𝐷 𝐿^4)/384𝐸𝐼&lt;𝐿/360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242</xdr:row>
      <xdr:rowOff>0</xdr:rowOff>
    </xdr:from>
    <xdr:ext cx="1557286" cy="3676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E1A59323-F8D2-4BC8-A346-B8B4A76A1E6B}"/>
                </a:ext>
              </a:extLst>
            </xdr:cNvPr>
            <xdr:cNvSpPr txBox="1"/>
          </xdr:nvSpPr>
          <xdr:spPr>
            <a:xfrm>
              <a:off x="514350" y="38690550"/>
              <a:ext cx="1557286" cy="367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384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𝐼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𝑡𝑟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&lt;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E1A59323-F8D2-4BC8-A346-B8B4A76A1E6B}"/>
                </a:ext>
              </a:extLst>
            </xdr:cNvPr>
            <xdr:cNvSpPr txBox="1"/>
          </xdr:nvSpPr>
          <xdr:spPr>
            <a:xfrm>
              <a:off x="514350" y="38690550"/>
              <a:ext cx="1557286" cy="3676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𝛿_(𝑛𝑐 (𝐷1))=(5𝑞_𝐷 𝐿^4)/(384𝐸𝐼_𝑡𝑟 )&lt;𝐿/360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13</xdr:col>
      <xdr:colOff>134664</xdr:colOff>
      <xdr:row>167</xdr:row>
      <xdr:rowOff>182218</xdr:rowOff>
    </xdr:from>
    <xdr:to>
      <xdr:col>19</xdr:col>
      <xdr:colOff>256760</xdr:colOff>
      <xdr:row>175</xdr:row>
      <xdr:rowOff>161580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30EC204-BB5B-469B-BA1B-00BB02722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21689" y="25623493"/>
          <a:ext cx="3760646" cy="1731961"/>
        </a:xfrm>
        <a:prstGeom prst="rect">
          <a:avLst/>
        </a:prstGeom>
      </xdr:spPr>
    </xdr:pic>
    <xdr:clientData/>
  </xdr:twoCellAnchor>
  <xdr:twoCellAnchor editAs="oneCell">
    <xdr:from>
      <xdr:col>13</xdr:col>
      <xdr:colOff>111785</xdr:colOff>
      <xdr:row>160</xdr:row>
      <xdr:rowOff>107673</xdr:rowOff>
    </xdr:from>
    <xdr:to>
      <xdr:col>18</xdr:col>
      <xdr:colOff>142213</xdr:colOff>
      <xdr:row>167</xdr:row>
      <xdr:rowOff>149194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A89E62B2-D740-44D3-ACDE-F3C03F75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98810" y="23958273"/>
          <a:ext cx="3059378" cy="1632197"/>
        </a:xfrm>
        <a:prstGeom prst="rect">
          <a:avLst/>
        </a:prstGeom>
      </xdr:spPr>
    </xdr:pic>
    <xdr:clientData/>
  </xdr:twoCellAnchor>
  <xdr:oneCellAnchor>
    <xdr:from>
      <xdr:col>2</xdr:col>
      <xdr:colOff>14907</xdr:colOff>
      <xdr:row>26</xdr:row>
      <xdr:rowOff>14908</xdr:rowOff>
    </xdr:from>
    <xdr:ext cx="2148473" cy="3662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0" name="TextBox 99">
              <a:extLst>
                <a:ext uri="{FF2B5EF4-FFF2-40B4-BE49-F238E27FC236}">
                  <a16:creationId xmlns:a16="http://schemas.microsoft.com/office/drawing/2014/main" id="{CF702C80-7FB8-4047-9603-2DC8EE5C82D2}"/>
                </a:ext>
              </a:extLst>
            </xdr:cNvPr>
            <xdr:cNvSpPr txBox="1"/>
          </xdr:nvSpPr>
          <xdr:spPr>
            <a:xfrm>
              <a:off x="529257" y="4177333"/>
              <a:ext cx="2148473" cy="3662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6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𝑒𝑑𝑔𝑒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𝑏𝑒𝑎𝑚𝑠</m:t>
                    </m:r>
                  </m:oMath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16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𝑓𝑜𝑟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𝑚𝑖𝑑𝑑𝑙𝑒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𝑏𝑒𝑎𝑚𝑠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0" name="TextBox 99">
              <a:extLst>
                <a:ext uri="{FF2B5EF4-FFF2-40B4-BE49-F238E27FC236}">
                  <a16:creationId xmlns:a16="http://schemas.microsoft.com/office/drawing/2014/main" id="{CF702C80-7FB8-4047-9603-2DC8EE5C82D2}"/>
                </a:ext>
              </a:extLst>
            </xdr:cNvPr>
            <xdr:cNvSpPr txBox="1"/>
          </xdr:nvSpPr>
          <xdr:spPr>
            <a:xfrm>
              <a:off x="529257" y="4177333"/>
              <a:ext cx="2148473" cy="3662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𝑏_𝑒3=𝑏_𝑓+6𝑡_𝑠   𝑓𝑜𝑟 𝑒𝑑𝑔𝑒 𝑏𝑒𝑎𝑚𝑠</a:t>
              </a:r>
              <a:br>
                <a:rPr lang="en-US" sz="1100" b="0" i="1">
                  <a:latin typeface="Cambria Math" panose="02040503050406030204" pitchFamily="18" charset="0"/>
                </a:rPr>
              </a:br>
              <a:r>
                <a:rPr lang="en-US" sz="1100" b="0" i="0">
                  <a:latin typeface="Cambria Math" panose="02040503050406030204" pitchFamily="18" charset="0"/>
                </a:rPr>
                <a:t>𝑏_𝑒3=𝑏_𝑓+16𝑡_𝑠  𝑓𝑜𝑟 𝑚𝑖𝑑𝑑𝑙𝑒 𝑏𝑒𝑎𝑚𝑠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2</xdr:col>
      <xdr:colOff>2145196</xdr:colOff>
      <xdr:row>169</xdr:row>
      <xdr:rowOff>60104</xdr:rowOff>
    </xdr:from>
    <xdr:to>
      <xdr:col>6</xdr:col>
      <xdr:colOff>712840</xdr:colOff>
      <xdr:row>177</xdr:row>
      <xdr:rowOff>88598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D8FF027A-FEC9-4095-89F0-309D0BA9B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58718" y="25462865"/>
          <a:ext cx="4290926" cy="17512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215779</xdr:colOff>
      <xdr:row>29</xdr:row>
      <xdr:rowOff>99391</xdr:rowOff>
    </xdr:from>
    <xdr:to>
      <xdr:col>4</xdr:col>
      <xdr:colOff>115542</xdr:colOff>
      <xdr:row>50</xdr:row>
      <xdr:rowOff>45554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5BE58181-447B-44A4-94DB-213A39348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301" y="5234608"/>
          <a:ext cx="3999654" cy="4816337"/>
        </a:xfrm>
        <a:prstGeom prst="rect">
          <a:avLst/>
        </a:prstGeom>
      </xdr:spPr>
    </xdr:pic>
    <xdr:clientData/>
  </xdr:twoCellAnchor>
  <xdr:twoCellAnchor>
    <xdr:from>
      <xdr:col>4</xdr:col>
      <xdr:colOff>331305</xdr:colOff>
      <xdr:row>73</xdr:row>
      <xdr:rowOff>33131</xdr:rowOff>
    </xdr:from>
    <xdr:to>
      <xdr:col>10</xdr:col>
      <xdr:colOff>265044</xdr:colOff>
      <xdr:row>78</xdr:row>
      <xdr:rowOff>224457</xdr:rowOff>
    </xdr:to>
    <xdr:graphicFrame macro="">
      <xdr:nvGraphicFramePr>
        <xdr:cNvPr id="104" name="Chart 103">
          <a:extLst>
            <a:ext uri="{FF2B5EF4-FFF2-40B4-BE49-F238E27FC236}">
              <a16:creationId xmlns:a16="http://schemas.microsoft.com/office/drawing/2014/main" id="{C734E9D1-3713-44F8-98FE-D62BC1C2C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3315</xdr:colOff>
      <xdr:row>73</xdr:row>
      <xdr:rowOff>28163</xdr:rowOff>
    </xdr:from>
    <xdr:to>
      <xdr:col>4</xdr:col>
      <xdr:colOff>210380</xdr:colOff>
      <xdr:row>78</xdr:row>
      <xdr:rowOff>219489</xdr:rowOff>
    </xdr:to>
    <xdr:graphicFrame macro="">
      <xdr:nvGraphicFramePr>
        <xdr:cNvPr id="105" name="Chart 104">
          <a:extLst>
            <a:ext uri="{FF2B5EF4-FFF2-40B4-BE49-F238E27FC236}">
              <a16:creationId xmlns:a16="http://schemas.microsoft.com/office/drawing/2014/main" id="{299881EC-F68E-4DBF-A402-E5890762A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S20" totalsRowShown="0">
  <autoFilter ref="A1:S2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IPE "/>
    <tableColumn id="2" xr3:uid="{00000000-0010-0000-0000-000002000000}" name="h"/>
    <tableColumn id="3" xr3:uid="{00000000-0010-0000-0000-000003000000}" name="b"/>
    <tableColumn id="4" xr3:uid="{00000000-0010-0000-0000-000004000000}" name="s"/>
    <tableColumn id="5" xr3:uid="{00000000-0010-0000-0000-000005000000}" name="t"/>
    <tableColumn id="6" xr3:uid="{00000000-0010-0000-0000-000006000000}" name="r"/>
    <tableColumn id="7" xr3:uid="{00000000-0010-0000-0000-000007000000}" name="c"/>
    <tableColumn id="8" xr3:uid="{00000000-0010-0000-0000-000008000000}" name="h-2c"/>
    <tableColumn id="9" xr3:uid="{00000000-0010-0000-0000-000009000000}" name="A" dataDxfId="1"/>
    <tableColumn id="10" xr3:uid="{00000000-0010-0000-0000-00000A000000}" name="G"/>
    <tableColumn id="11" xr3:uid="{00000000-0010-0000-0000-00000B000000}" name="Ix"/>
    <tableColumn id="12" xr3:uid="{00000000-0010-0000-0000-00000C000000}" name="Wx"/>
    <tableColumn id="13" xr3:uid="{00000000-0010-0000-0000-00000D000000}" name="ix2"/>
    <tableColumn id="14" xr3:uid="{00000000-0010-0000-0000-00000E000000}" name="Iy"/>
    <tableColumn id="15" xr3:uid="{00000000-0010-0000-0000-00000F000000}" name="Wy"/>
    <tableColumn id="16" xr3:uid="{00000000-0010-0000-0000-000010000000}" name="iy2"/>
    <tableColumn id="17" xr3:uid="{00000000-0010-0000-0000-000011000000}" name="a1"/>
    <tableColumn id="18" xr3:uid="{00000000-0010-0000-0000-000012000000}" name="rT"/>
    <tableColumn id="19" xr3:uid="{00000000-0010-0000-0000-000013000000}" name="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35518-A774-47A1-95BA-106587AACAC9}">
  <dimension ref="B2:C3"/>
  <sheetViews>
    <sheetView workbookViewId="0">
      <selection activeCell="C4" sqref="C4"/>
    </sheetView>
  </sheetViews>
  <sheetFormatPr defaultRowHeight="15" x14ac:dyDescent="0.25"/>
  <sheetData>
    <row r="2" spans="2:3" x14ac:dyDescent="0.25">
      <c r="B2">
        <v>1</v>
      </c>
      <c r="C2" t="s">
        <v>185</v>
      </c>
    </row>
    <row r="3" spans="2:3" x14ac:dyDescent="0.25">
      <c r="B3">
        <v>2</v>
      </c>
      <c r="C3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44"/>
  <sheetViews>
    <sheetView workbookViewId="0">
      <selection activeCell="A10" sqref="A10:S10"/>
    </sheetView>
  </sheetViews>
  <sheetFormatPr defaultRowHeight="15" x14ac:dyDescent="0.25"/>
  <cols>
    <col min="19" max="19" width="7.140625" style="3" customWidth="1"/>
  </cols>
  <sheetData>
    <row r="1" spans="1:19" x14ac:dyDescent="0.25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7</v>
      </c>
      <c r="J1" t="s">
        <v>8</v>
      </c>
      <c r="K1" t="s">
        <v>26</v>
      </c>
      <c r="L1" t="s">
        <v>13</v>
      </c>
      <c r="M1" t="s">
        <v>29</v>
      </c>
      <c r="N1" t="s">
        <v>27</v>
      </c>
      <c r="O1" t="s">
        <v>14</v>
      </c>
      <c r="P1" t="s">
        <v>28</v>
      </c>
      <c r="Q1" t="s">
        <v>15</v>
      </c>
      <c r="R1" t="s">
        <v>16</v>
      </c>
      <c r="S1" s="4" t="s">
        <v>31</v>
      </c>
    </row>
    <row r="2" spans="1:19" x14ac:dyDescent="0.25">
      <c r="B2" t="s">
        <v>9</v>
      </c>
      <c r="C2" t="s">
        <v>9</v>
      </c>
      <c r="D2" t="s">
        <v>9</v>
      </c>
      <c r="E2" t="s">
        <v>9</v>
      </c>
      <c r="F2" t="s">
        <v>9</v>
      </c>
      <c r="G2" t="s">
        <v>9</v>
      </c>
      <c r="H2" t="s">
        <v>9</v>
      </c>
      <c r="I2" s="1" t="s">
        <v>17</v>
      </c>
      <c r="J2" t="s">
        <v>10</v>
      </c>
      <c r="K2" t="s">
        <v>18</v>
      </c>
      <c r="L2" t="s">
        <v>19</v>
      </c>
      <c r="M2" t="s">
        <v>11</v>
      </c>
      <c r="N2" t="s">
        <v>18</v>
      </c>
      <c r="O2" t="s">
        <v>19</v>
      </c>
      <c r="P2" t="s">
        <v>11</v>
      </c>
      <c r="Q2" t="s">
        <v>9</v>
      </c>
      <c r="R2" t="s">
        <v>9</v>
      </c>
      <c r="S2" s="4" t="s">
        <v>19</v>
      </c>
    </row>
    <row r="3" spans="1:19" x14ac:dyDescent="0.25">
      <c r="A3">
        <v>80</v>
      </c>
      <c r="B3">
        <v>80</v>
      </c>
      <c r="C3">
        <v>46</v>
      </c>
      <c r="D3">
        <v>3.8</v>
      </c>
      <c r="E3">
        <v>5.2</v>
      </c>
      <c r="F3">
        <v>5</v>
      </c>
      <c r="G3">
        <v>10.199999999999999</v>
      </c>
      <c r="H3">
        <v>59</v>
      </c>
      <c r="I3" s="1">
        <v>7.64</v>
      </c>
      <c r="J3">
        <v>6</v>
      </c>
      <c r="K3">
        <v>80.099999999999994</v>
      </c>
      <c r="L3">
        <v>20</v>
      </c>
      <c r="M3">
        <v>3.24</v>
      </c>
      <c r="N3">
        <v>8.49</v>
      </c>
      <c r="O3">
        <v>3.69</v>
      </c>
      <c r="P3">
        <v>1.05</v>
      </c>
      <c r="Q3">
        <v>63</v>
      </c>
      <c r="R3">
        <v>12.2</v>
      </c>
      <c r="S3" s="4">
        <v>23.2</v>
      </c>
    </row>
    <row r="4" spans="1:19" x14ac:dyDescent="0.25">
      <c r="A4">
        <v>100</v>
      </c>
      <c r="B4">
        <v>100</v>
      </c>
      <c r="C4">
        <v>55</v>
      </c>
      <c r="D4">
        <v>4.0999999999999996</v>
      </c>
      <c r="E4">
        <v>5.7</v>
      </c>
      <c r="F4">
        <v>7</v>
      </c>
      <c r="G4">
        <v>12.7</v>
      </c>
      <c r="H4">
        <v>74</v>
      </c>
      <c r="I4" s="1">
        <v>10.3</v>
      </c>
      <c r="J4">
        <v>8.1</v>
      </c>
      <c r="K4">
        <v>171</v>
      </c>
      <c r="L4">
        <v>34.200000000000003</v>
      </c>
      <c r="M4">
        <v>4.07</v>
      </c>
      <c r="N4">
        <v>15.9</v>
      </c>
      <c r="O4">
        <v>5.79</v>
      </c>
      <c r="P4">
        <v>1.24</v>
      </c>
      <c r="Q4">
        <v>79</v>
      </c>
      <c r="R4">
        <v>14.6</v>
      </c>
      <c r="S4" s="4">
        <v>39.4</v>
      </c>
    </row>
    <row r="5" spans="1:19" x14ac:dyDescent="0.25">
      <c r="A5">
        <v>120</v>
      </c>
      <c r="B5">
        <v>120</v>
      </c>
      <c r="C5">
        <v>64</v>
      </c>
      <c r="D5">
        <v>4.4000000000000004</v>
      </c>
      <c r="E5">
        <v>6.3</v>
      </c>
      <c r="F5">
        <v>7</v>
      </c>
      <c r="G5">
        <v>13.3</v>
      </c>
      <c r="H5">
        <v>93</v>
      </c>
      <c r="I5" s="1">
        <v>13.2</v>
      </c>
      <c r="J5">
        <v>10.4</v>
      </c>
      <c r="K5">
        <v>318</v>
      </c>
      <c r="L5">
        <v>53</v>
      </c>
      <c r="M5">
        <v>4.9000000000000004</v>
      </c>
      <c r="N5">
        <v>27.7</v>
      </c>
      <c r="O5">
        <v>8.65</v>
      </c>
      <c r="P5">
        <v>1.45</v>
      </c>
      <c r="Q5">
        <v>96</v>
      </c>
      <c r="R5">
        <v>16.899999999999999</v>
      </c>
      <c r="S5" s="4">
        <v>60.7</v>
      </c>
    </row>
    <row r="6" spans="1:19" x14ac:dyDescent="0.25">
      <c r="A6">
        <v>140</v>
      </c>
      <c r="B6">
        <v>140</v>
      </c>
      <c r="C6">
        <v>73</v>
      </c>
      <c r="D6">
        <v>4.7</v>
      </c>
      <c r="E6">
        <v>6.9</v>
      </c>
      <c r="F6">
        <v>7</v>
      </c>
      <c r="G6">
        <v>13.9</v>
      </c>
      <c r="H6">
        <v>112</v>
      </c>
      <c r="I6" s="1">
        <v>16.399999999999999</v>
      </c>
      <c r="J6">
        <v>12.9</v>
      </c>
      <c r="K6">
        <v>541</v>
      </c>
      <c r="L6">
        <v>77.3</v>
      </c>
      <c r="M6">
        <v>5.74</v>
      </c>
      <c r="N6">
        <v>44.9</v>
      </c>
      <c r="O6">
        <v>12.3</v>
      </c>
      <c r="P6">
        <v>1.65</v>
      </c>
      <c r="Q6">
        <v>112</v>
      </c>
      <c r="R6">
        <v>19.3</v>
      </c>
      <c r="S6" s="4">
        <v>88.3</v>
      </c>
    </row>
    <row r="7" spans="1:19" x14ac:dyDescent="0.25">
      <c r="A7">
        <v>160</v>
      </c>
      <c r="B7">
        <v>160</v>
      </c>
      <c r="C7">
        <v>82</v>
      </c>
      <c r="D7">
        <v>5</v>
      </c>
      <c r="E7">
        <v>7.4</v>
      </c>
      <c r="F7">
        <v>9</v>
      </c>
      <c r="G7">
        <v>16.399999999999999</v>
      </c>
      <c r="H7">
        <v>127</v>
      </c>
      <c r="I7" s="1">
        <v>20.100000000000001</v>
      </c>
      <c r="J7">
        <v>15.8</v>
      </c>
      <c r="K7">
        <v>869</v>
      </c>
      <c r="L7">
        <v>109</v>
      </c>
      <c r="M7">
        <v>6.58</v>
      </c>
      <c r="N7">
        <v>68.3</v>
      </c>
      <c r="O7">
        <v>16.7</v>
      </c>
      <c r="P7">
        <v>1.84</v>
      </c>
      <c r="Q7">
        <v>129</v>
      </c>
      <c r="R7">
        <v>21.7</v>
      </c>
      <c r="S7" s="4">
        <v>124</v>
      </c>
    </row>
    <row r="8" spans="1:19" x14ac:dyDescent="0.25">
      <c r="A8">
        <v>180</v>
      </c>
      <c r="B8">
        <v>180</v>
      </c>
      <c r="C8">
        <v>91</v>
      </c>
      <c r="D8">
        <v>5.3</v>
      </c>
      <c r="E8">
        <v>8</v>
      </c>
      <c r="F8">
        <v>9</v>
      </c>
      <c r="G8">
        <v>17</v>
      </c>
      <c r="H8">
        <v>146</v>
      </c>
      <c r="I8" s="1">
        <v>23.9</v>
      </c>
      <c r="J8">
        <v>18.8</v>
      </c>
      <c r="K8">
        <v>1320</v>
      </c>
      <c r="L8">
        <v>146</v>
      </c>
      <c r="M8">
        <v>7.42</v>
      </c>
      <c r="N8">
        <v>101</v>
      </c>
      <c r="O8">
        <v>22.2</v>
      </c>
      <c r="P8">
        <v>2.06</v>
      </c>
      <c r="Q8">
        <v>145</v>
      </c>
      <c r="R8">
        <v>24</v>
      </c>
      <c r="S8" s="4">
        <v>166</v>
      </c>
    </row>
    <row r="9" spans="1:19" x14ac:dyDescent="0.25">
      <c r="A9">
        <v>200</v>
      </c>
      <c r="B9">
        <v>200</v>
      </c>
      <c r="C9">
        <v>100</v>
      </c>
      <c r="D9">
        <v>5.6</v>
      </c>
      <c r="E9">
        <v>8.5</v>
      </c>
      <c r="F9">
        <v>12</v>
      </c>
      <c r="G9">
        <v>20.5</v>
      </c>
      <c r="H9">
        <v>159</v>
      </c>
      <c r="I9" s="1">
        <v>28.5</v>
      </c>
      <c r="J9">
        <v>22.4</v>
      </c>
      <c r="K9">
        <v>1940</v>
      </c>
      <c r="L9">
        <v>194</v>
      </c>
      <c r="M9">
        <v>8.26</v>
      </c>
      <c r="N9">
        <v>142</v>
      </c>
      <c r="O9">
        <v>28.5</v>
      </c>
      <c r="P9">
        <v>2.2400000000000002</v>
      </c>
      <c r="Q9">
        <v>162</v>
      </c>
      <c r="R9">
        <v>26.4</v>
      </c>
      <c r="S9" s="4">
        <v>221</v>
      </c>
    </row>
    <row r="10" spans="1:19" x14ac:dyDescent="0.25">
      <c r="A10">
        <v>220</v>
      </c>
      <c r="B10">
        <v>220</v>
      </c>
      <c r="C10">
        <v>110</v>
      </c>
      <c r="D10">
        <v>5.9</v>
      </c>
      <c r="E10">
        <v>9.1999999999999993</v>
      </c>
      <c r="F10">
        <v>12</v>
      </c>
      <c r="G10">
        <v>21.2</v>
      </c>
      <c r="H10">
        <v>177</v>
      </c>
      <c r="I10" s="1">
        <v>33.4</v>
      </c>
      <c r="J10">
        <v>26.2</v>
      </c>
      <c r="K10">
        <v>2770</v>
      </c>
      <c r="L10">
        <v>252</v>
      </c>
      <c r="M10">
        <v>9.11</v>
      </c>
      <c r="N10">
        <v>205</v>
      </c>
      <c r="O10">
        <v>37.299999999999997</v>
      </c>
      <c r="P10">
        <v>2.48</v>
      </c>
      <c r="Q10">
        <v>179</v>
      </c>
      <c r="R10">
        <v>29.1</v>
      </c>
      <c r="S10" s="4">
        <v>285</v>
      </c>
    </row>
    <row r="11" spans="1:19" x14ac:dyDescent="0.25">
      <c r="A11">
        <v>240</v>
      </c>
      <c r="B11">
        <v>240</v>
      </c>
      <c r="C11">
        <v>120</v>
      </c>
      <c r="D11">
        <v>6.2</v>
      </c>
      <c r="E11">
        <v>9.8000000000000007</v>
      </c>
      <c r="F11">
        <v>15</v>
      </c>
      <c r="G11">
        <v>24.8</v>
      </c>
      <c r="H11">
        <v>190</v>
      </c>
      <c r="I11" s="1">
        <v>39.1</v>
      </c>
      <c r="J11">
        <v>30.7</v>
      </c>
      <c r="K11">
        <v>3890</v>
      </c>
      <c r="L11">
        <v>324</v>
      </c>
      <c r="M11">
        <v>9.9700000000000006</v>
      </c>
      <c r="N11">
        <v>284</v>
      </c>
      <c r="O11">
        <v>47.3</v>
      </c>
      <c r="P11">
        <v>2.6</v>
      </c>
      <c r="Q11">
        <v>196</v>
      </c>
      <c r="R11">
        <v>31.8</v>
      </c>
      <c r="S11" s="4">
        <v>367</v>
      </c>
    </row>
    <row r="12" spans="1:19" x14ac:dyDescent="0.25">
      <c r="A12">
        <v>270</v>
      </c>
      <c r="B12">
        <v>270</v>
      </c>
      <c r="C12">
        <v>135</v>
      </c>
      <c r="D12">
        <v>6.6</v>
      </c>
      <c r="E12">
        <v>10.199999999999999</v>
      </c>
      <c r="F12">
        <v>15</v>
      </c>
      <c r="G12">
        <v>25.2</v>
      </c>
      <c r="H12">
        <v>219</v>
      </c>
      <c r="I12" s="1">
        <v>45.9</v>
      </c>
      <c r="J12">
        <v>36.1</v>
      </c>
      <c r="K12">
        <v>5790</v>
      </c>
      <c r="L12">
        <v>429</v>
      </c>
      <c r="M12">
        <v>11.2</v>
      </c>
      <c r="N12">
        <v>420</v>
      </c>
      <c r="O12">
        <v>62.2</v>
      </c>
      <c r="P12">
        <v>3.02</v>
      </c>
      <c r="Q12">
        <v>220</v>
      </c>
      <c r="R12">
        <v>35.6</v>
      </c>
      <c r="S12" s="4">
        <v>484</v>
      </c>
    </row>
    <row r="13" spans="1:19" x14ac:dyDescent="0.25">
      <c r="A13">
        <v>300</v>
      </c>
      <c r="B13">
        <v>300</v>
      </c>
      <c r="C13">
        <v>150</v>
      </c>
      <c r="D13">
        <v>7.1</v>
      </c>
      <c r="E13">
        <v>10.7</v>
      </c>
      <c r="F13">
        <v>15</v>
      </c>
      <c r="G13">
        <v>25.7</v>
      </c>
      <c r="H13">
        <v>248</v>
      </c>
      <c r="I13" s="1">
        <v>53.8</v>
      </c>
      <c r="J13">
        <v>42.2</v>
      </c>
      <c r="K13">
        <v>8360</v>
      </c>
      <c r="L13">
        <v>557</v>
      </c>
      <c r="M13">
        <v>12.5</v>
      </c>
      <c r="N13">
        <v>604</v>
      </c>
      <c r="O13">
        <v>80.5</v>
      </c>
      <c r="P13">
        <v>3.35</v>
      </c>
      <c r="Q13">
        <v>245</v>
      </c>
      <c r="R13">
        <v>39.5</v>
      </c>
      <c r="S13" s="4">
        <v>628</v>
      </c>
    </row>
    <row r="14" spans="1:19" x14ac:dyDescent="0.25">
      <c r="A14">
        <v>330</v>
      </c>
      <c r="B14">
        <v>330</v>
      </c>
      <c r="C14">
        <v>160</v>
      </c>
      <c r="D14">
        <v>7.5</v>
      </c>
      <c r="E14">
        <v>11.5</v>
      </c>
      <c r="F14">
        <v>18</v>
      </c>
      <c r="G14">
        <v>29.5</v>
      </c>
      <c r="H14">
        <v>271</v>
      </c>
      <c r="I14" s="1">
        <v>62.6</v>
      </c>
      <c r="J14">
        <v>49.1</v>
      </c>
      <c r="K14">
        <v>11770</v>
      </c>
      <c r="L14">
        <v>713</v>
      </c>
      <c r="M14">
        <v>13.7</v>
      </c>
      <c r="N14">
        <v>788</v>
      </c>
      <c r="O14">
        <v>98.5</v>
      </c>
      <c r="P14">
        <v>3.55</v>
      </c>
      <c r="Q14">
        <v>270</v>
      </c>
      <c r="R14">
        <v>42.1</v>
      </c>
      <c r="S14" s="4">
        <v>804</v>
      </c>
    </row>
    <row r="15" spans="1:19" x14ac:dyDescent="0.25">
      <c r="A15">
        <v>360</v>
      </c>
      <c r="B15">
        <v>360</v>
      </c>
      <c r="C15">
        <v>170</v>
      </c>
      <c r="D15">
        <v>8</v>
      </c>
      <c r="E15">
        <v>12.7</v>
      </c>
      <c r="F15">
        <v>18</v>
      </c>
      <c r="G15">
        <v>30.7</v>
      </c>
      <c r="H15">
        <v>298</v>
      </c>
      <c r="I15" s="1">
        <v>72.7</v>
      </c>
      <c r="J15">
        <v>57.1</v>
      </c>
      <c r="K15">
        <v>16270</v>
      </c>
      <c r="L15">
        <v>904</v>
      </c>
      <c r="M15">
        <v>15</v>
      </c>
      <c r="N15">
        <v>1040</v>
      </c>
      <c r="O15">
        <v>123</v>
      </c>
      <c r="P15">
        <v>3.79</v>
      </c>
      <c r="Q15">
        <v>294</v>
      </c>
      <c r="R15">
        <v>44.7</v>
      </c>
      <c r="S15" s="4">
        <v>1019</v>
      </c>
    </row>
    <row r="16" spans="1:19" x14ac:dyDescent="0.25">
      <c r="A16">
        <v>400</v>
      </c>
      <c r="B16">
        <v>400</v>
      </c>
      <c r="C16">
        <v>180</v>
      </c>
      <c r="D16">
        <v>8.6</v>
      </c>
      <c r="E16">
        <v>13.5</v>
      </c>
      <c r="F16">
        <v>21</v>
      </c>
      <c r="G16">
        <v>34.5</v>
      </c>
      <c r="H16">
        <v>331</v>
      </c>
      <c r="I16" s="1">
        <v>84.5</v>
      </c>
      <c r="J16">
        <v>66.3</v>
      </c>
      <c r="K16">
        <v>23130</v>
      </c>
      <c r="L16">
        <v>1160</v>
      </c>
      <c r="M16">
        <v>16.5</v>
      </c>
      <c r="N16">
        <v>1320</v>
      </c>
      <c r="O16">
        <v>146</v>
      </c>
      <c r="P16">
        <v>3.95</v>
      </c>
      <c r="Q16">
        <v>326</v>
      </c>
      <c r="R16">
        <v>47.1</v>
      </c>
      <c r="S16" s="4">
        <v>1307</v>
      </c>
    </row>
    <row r="17" spans="1:19" x14ac:dyDescent="0.25">
      <c r="A17">
        <v>450</v>
      </c>
      <c r="B17">
        <v>450</v>
      </c>
      <c r="C17">
        <v>190</v>
      </c>
      <c r="D17">
        <v>9.4</v>
      </c>
      <c r="E17">
        <v>14.6</v>
      </c>
      <c r="F17">
        <v>21</v>
      </c>
      <c r="G17">
        <v>35.6</v>
      </c>
      <c r="H17">
        <v>378</v>
      </c>
      <c r="I17" s="1">
        <v>98.8</v>
      </c>
      <c r="J17">
        <v>77.599999999999994</v>
      </c>
      <c r="K17">
        <v>33740</v>
      </c>
      <c r="L17">
        <v>1500</v>
      </c>
      <c r="M17">
        <v>18.5</v>
      </c>
      <c r="N17">
        <v>1680</v>
      </c>
      <c r="O17">
        <v>176</v>
      </c>
      <c r="P17">
        <v>4.12</v>
      </c>
      <c r="Q17">
        <v>365</v>
      </c>
      <c r="R17">
        <v>49.4</v>
      </c>
      <c r="S17" s="4">
        <v>1702</v>
      </c>
    </row>
    <row r="18" spans="1:19" x14ac:dyDescent="0.25">
      <c r="A18">
        <v>500</v>
      </c>
      <c r="B18">
        <v>500</v>
      </c>
      <c r="C18">
        <v>200</v>
      </c>
      <c r="D18">
        <v>10.199999999999999</v>
      </c>
      <c r="E18">
        <v>16</v>
      </c>
      <c r="F18">
        <v>21</v>
      </c>
      <c r="G18">
        <v>37</v>
      </c>
      <c r="H18">
        <v>426</v>
      </c>
      <c r="I18" s="1">
        <v>116</v>
      </c>
      <c r="J18">
        <v>90.7</v>
      </c>
      <c r="K18">
        <v>48200</v>
      </c>
      <c r="L18">
        <v>1930</v>
      </c>
      <c r="M18">
        <v>20.399999999999999</v>
      </c>
      <c r="N18">
        <v>2140</v>
      </c>
      <c r="O18">
        <v>214</v>
      </c>
      <c r="P18">
        <v>4.3099999999999996</v>
      </c>
      <c r="Q18">
        <v>404</v>
      </c>
      <c r="R18">
        <v>51.8</v>
      </c>
      <c r="S18" s="4">
        <v>2194</v>
      </c>
    </row>
    <row r="19" spans="1:19" x14ac:dyDescent="0.25">
      <c r="A19">
        <v>550</v>
      </c>
      <c r="B19">
        <v>550</v>
      </c>
      <c r="C19">
        <v>210</v>
      </c>
      <c r="D19">
        <v>11.1</v>
      </c>
      <c r="E19">
        <v>17.2</v>
      </c>
      <c r="F19">
        <v>24</v>
      </c>
      <c r="G19">
        <v>41.2</v>
      </c>
      <c r="H19">
        <v>467</v>
      </c>
      <c r="I19" s="1">
        <v>134</v>
      </c>
      <c r="J19">
        <v>106</v>
      </c>
      <c r="K19">
        <v>67120</v>
      </c>
      <c r="L19">
        <v>2440</v>
      </c>
      <c r="M19">
        <v>22.3</v>
      </c>
      <c r="N19">
        <v>2670</v>
      </c>
      <c r="O19">
        <v>254</v>
      </c>
      <c r="P19">
        <v>4.45</v>
      </c>
      <c r="Q19">
        <v>442</v>
      </c>
      <c r="R19">
        <v>54</v>
      </c>
      <c r="S19" s="4">
        <v>2787</v>
      </c>
    </row>
    <row r="20" spans="1:19" x14ac:dyDescent="0.25">
      <c r="A20">
        <v>600</v>
      </c>
      <c r="B20">
        <v>600</v>
      </c>
      <c r="C20">
        <v>220</v>
      </c>
      <c r="D20">
        <v>12</v>
      </c>
      <c r="E20">
        <v>19</v>
      </c>
      <c r="F20">
        <v>24</v>
      </c>
      <c r="G20">
        <v>43</v>
      </c>
      <c r="H20">
        <v>514</v>
      </c>
      <c r="I20" s="1">
        <v>156</v>
      </c>
      <c r="J20">
        <v>122</v>
      </c>
      <c r="K20">
        <v>92080</v>
      </c>
      <c r="L20">
        <v>3070</v>
      </c>
      <c r="M20">
        <v>24.3</v>
      </c>
      <c r="N20">
        <v>3390</v>
      </c>
      <c r="O20">
        <v>308</v>
      </c>
      <c r="P20">
        <v>4.66</v>
      </c>
      <c r="Q20">
        <v>481</v>
      </c>
      <c r="R20">
        <v>56.5</v>
      </c>
      <c r="S20" s="4">
        <v>3512</v>
      </c>
    </row>
    <row r="25" spans="1:19" x14ac:dyDescent="0.25">
      <c r="G25" t="s">
        <v>7</v>
      </c>
      <c r="H25">
        <v>240</v>
      </c>
      <c r="P25" s="5" t="s">
        <v>12</v>
      </c>
      <c r="Q25" s="8" t="s">
        <v>31</v>
      </c>
      <c r="R25" s="7" t="s">
        <v>7</v>
      </c>
    </row>
    <row r="26" spans="1:19" x14ac:dyDescent="0.25">
      <c r="G26" t="s">
        <v>22</v>
      </c>
      <c r="H26">
        <f>VLOOKUP(H25,A3:R20,1,TRUE)</f>
        <v>240</v>
      </c>
      <c r="Q26" s="36" t="s">
        <v>19</v>
      </c>
      <c r="R26" s="37" t="s">
        <v>17</v>
      </c>
    </row>
    <row r="27" spans="1:19" x14ac:dyDescent="0.25">
      <c r="P27" s="9">
        <v>80</v>
      </c>
      <c r="Q27" s="10">
        <v>23.2</v>
      </c>
      <c r="R27" s="2">
        <v>7.64</v>
      </c>
    </row>
    <row r="28" spans="1:19" x14ac:dyDescent="0.25">
      <c r="P28" s="11">
        <v>100</v>
      </c>
      <c r="Q28" s="36">
        <v>39.4</v>
      </c>
      <c r="R28" s="37">
        <v>10.3</v>
      </c>
    </row>
    <row r="29" spans="1:19" x14ac:dyDescent="0.25">
      <c r="P29" s="9">
        <v>120</v>
      </c>
      <c r="Q29" s="10">
        <v>60.7</v>
      </c>
      <c r="R29" s="2">
        <v>13.2</v>
      </c>
    </row>
    <row r="30" spans="1:19" x14ac:dyDescent="0.25">
      <c r="P30" s="11">
        <v>140</v>
      </c>
      <c r="Q30" s="36">
        <v>88.3</v>
      </c>
      <c r="R30" s="37">
        <v>16.399999999999999</v>
      </c>
    </row>
    <row r="31" spans="1:19" x14ac:dyDescent="0.25">
      <c r="P31" s="9">
        <v>160</v>
      </c>
      <c r="Q31" s="10">
        <v>124</v>
      </c>
      <c r="R31" s="2">
        <v>20.100000000000001</v>
      </c>
    </row>
    <row r="32" spans="1:19" x14ac:dyDescent="0.25">
      <c r="P32" s="11">
        <v>180</v>
      </c>
      <c r="Q32" s="36">
        <v>166</v>
      </c>
      <c r="R32" s="37">
        <v>23.9</v>
      </c>
    </row>
    <row r="33" spans="16:18" x14ac:dyDescent="0.25">
      <c r="P33" s="9">
        <v>200</v>
      </c>
      <c r="Q33" s="10">
        <v>221</v>
      </c>
      <c r="R33" s="2">
        <v>28.5</v>
      </c>
    </row>
    <row r="34" spans="16:18" x14ac:dyDescent="0.25">
      <c r="P34" s="11">
        <v>220</v>
      </c>
      <c r="Q34" s="36">
        <v>285</v>
      </c>
      <c r="R34" s="37">
        <v>33.4</v>
      </c>
    </row>
    <row r="35" spans="16:18" x14ac:dyDescent="0.25">
      <c r="P35" s="9">
        <v>240</v>
      </c>
      <c r="Q35" s="10">
        <v>367</v>
      </c>
      <c r="R35" s="2">
        <v>39.1</v>
      </c>
    </row>
    <row r="36" spans="16:18" x14ac:dyDescent="0.25">
      <c r="P36" s="11">
        <v>270</v>
      </c>
      <c r="Q36" s="36">
        <v>484</v>
      </c>
      <c r="R36" s="37">
        <v>45.9</v>
      </c>
    </row>
    <row r="37" spans="16:18" x14ac:dyDescent="0.25">
      <c r="P37" s="9">
        <v>300</v>
      </c>
      <c r="Q37" s="10">
        <v>628</v>
      </c>
      <c r="R37" s="2">
        <v>53.8</v>
      </c>
    </row>
    <row r="38" spans="16:18" x14ac:dyDescent="0.25">
      <c r="P38" s="11">
        <v>330</v>
      </c>
      <c r="Q38" s="36">
        <v>804</v>
      </c>
      <c r="R38" s="37">
        <v>62.6</v>
      </c>
    </row>
    <row r="39" spans="16:18" x14ac:dyDescent="0.25">
      <c r="P39" s="9">
        <v>360</v>
      </c>
      <c r="Q39" s="10">
        <v>1019</v>
      </c>
      <c r="R39" s="2">
        <v>72.7</v>
      </c>
    </row>
    <row r="40" spans="16:18" x14ac:dyDescent="0.25">
      <c r="P40" s="11">
        <v>400</v>
      </c>
      <c r="Q40" s="36">
        <v>1307</v>
      </c>
      <c r="R40" s="37">
        <v>84.5</v>
      </c>
    </row>
    <row r="41" spans="16:18" x14ac:dyDescent="0.25">
      <c r="P41" s="9">
        <v>450</v>
      </c>
      <c r="Q41" s="10">
        <v>1702</v>
      </c>
      <c r="R41" s="2">
        <v>98.8</v>
      </c>
    </row>
    <row r="42" spans="16:18" x14ac:dyDescent="0.25">
      <c r="P42" s="11">
        <v>500</v>
      </c>
      <c r="Q42" s="36">
        <v>2194</v>
      </c>
      <c r="R42" s="37">
        <v>116</v>
      </c>
    </row>
    <row r="43" spans="16:18" x14ac:dyDescent="0.25">
      <c r="P43" s="9">
        <v>550</v>
      </c>
      <c r="Q43" s="10">
        <v>2787</v>
      </c>
      <c r="R43" s="2">
        <v>134</v>
      </c>
    </row>
    <row r="44" spans="16:18" x14ac:dyDescent="0.25">
      <c r="P44" s="11">
        <v>600</v>
      </c>
      <c r="Q44" s="36">
        <v>3512</v>
      </c>
      <c r="R44" s="37">
        <v>156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761C-81BC-4AC6-AB4B-5B69C631A8C4}">
  <dimension ref="B1:Z256"/>
  <sheetViews>
    <sheetView tabSelected="1" view="pageBreakPreview" zoomScale="115" zoomScaleNormal="100" zoomScaleSheetLayoutView="115" workbookViewId="0">
      <selection activeCell="C7" sqref="C7"/>
    </sheetView>
  </sheetViews>
  <sheetFormatPr defaultRowHeight="17.25" x14ac:dyDescent="0.45"/>
  <cols>
    <col min="1" max="1" width="3.7109375" style="12" customWidth="1"/>
    <col min="2" max="2" width="4" style="12" customWidth="1"/>
    <col min="3" max="3" width="50.42578125" style="12" customWidth="1"/>
    <col min="4" max="4" width="11" style="12" customWidth="1"/>
    <col min="5" max="5" width="14.7109375" style="35" bestFit="1" customWidth="1"/>
    <col min="6" max="6" width="9.7109375" style="12" bestFit="1" customWidth="1"/>
    <col min="7" max="7" width="12" style="12" bestFit="1" customWidth="1"/>
    <col min="8" max="9" width="9.140625" style="12"/>
    <col min="10" max="10" width="10.85546875" style="12" customWidth="1"/>
    <col min="11" max="11" width="7.7109375" style="12" customWidth="1"/>
    <col min="12" max="12" width="9.140625" style="12"/>
    <col min="13" max="13" width="5.7109375" style="12" customWidth="1"/>
    <col min="14" max="14" width="8.85546875" style="12" customWidth="1"/>
    <col min="15" max="16384" width="9.140625" style="12"/>
  </cols>
  <sheetData>
    <row r="1" spans="2:12" ht="18" thickBot="1" x14ac:dyDescent="0.5"/>
    <row r="2" spans="2:12" x14ac:dyDescent="0.45">
      <c r="B2" s="100" t="s">
        <v>211</v>
      </c>
      <c r="C2" s="101"/>
      <c r="D2" s="101"/>
      <c r="E2" s="102"/>
      <c r="F2" s="101" t="s">
        <v>247</v>
      </c>
      <c r="G2" s="101"/>
      <c r="H2" s="101"/>
      <c r="I2" s="101"/>
      <c r="J2" s="101"/>
      <c r="K2" s="101"/>
      <c r="L2" s="103"/>
    </row>
    <row r="3" spans="2:12" x14ac:dyDescent="0.45">
      <c r="B3" s="99" t="s">
        <v>242</v>
      </c>
      <c r="C3" s="15"/>
      <c r="D3" s="15"/>
      <c r="E3" s="26"/>
      <c r="F3" s="15" t="s">
        <v>246</v>
      </c>
      <c r="G3" s="15"/>
      <c r="H3" s="15"/>
      <c r="I3" s="15"/>
      <c r="J3" s="15"/>
      <c r="K3" s="15"/>
      <c r="L3" s="104"/>
    </row>
    <row r="4" spans="2:12" x14ac:dyDescent="0.45">
      <c r="B4" s="99" t="s">
        <v>241</v>
      </c>
      <c r="C4" s="15"/>
      <c r="D4" s="15"/>
      <c r="E4" s="12"/>
      <c r="F4" s="15" t="s">
        <v>244</v>
      </c>
      <c r="G4" s="15"/>
      <c r="H4" s="15"/>
      <c r="I4" s="15"/>
      <c r="J4" s="15"/>
      <c r="K4" s="15"/>
      <c r="L4" s="104"/>
    </row>
    <row r="5" spans="2:12" ht="18" thickBot="1" x14ac:dyDescent="0.5">
      <c r="B5" s="105" t="s">
        <v>243</v>
      </c>
      <c r="C5" s="106"/>
      <c r="D5" s="106"/>
      <c r="E5" s="107"/>
      <c r="F5" s="106" t="s">
        <v>245</v>
      </c>
      <c r="G5" s="106"/>
      <c r="H5" s="106"/>
      <c r="I5" s="106"/>
      <c r="J5" s="106"/>
      <c r="K5" s="106"/>
      <c r="L5" s="108"/>
    </row>
    <row r="7" spans="2:12" x14ac:dyDescent="0.45">
      <c r="C7" s="12" t="s">
        <v>248</v>
      </c>
    </row>
    <row r="9" spans="2:12" x14ac:dyDescent="0.45">
      <c r="B9" s="19"/>
      <c r="C9" s="20"/>
      <c r="D9" s="20"/>
      <c r="E9" s="25"/>
      <c r="F9" s="20"/>
      <c r="G9" s="20"/>
      <c r="H9" s="20"/>
      <c r="I9" s="20"/>
      <c r="J9" s="20"/>
      <c r="K9" s="20"/>
      <c r="L9" s="21"/>
    </row>
    <row r="10" spans="2:12" ht="20.25" thickBot="1" x14ac:dyDescent="0.55000000000000004">
      <c r="B10" s="22"/>
      <c r="C10" s="110" t="s">
        <v>213</v>
      </c>
      <c r="D10" s="110"/>
      <c r="E10" s="55"/>
      <c r="F10" s="56"/>
      <c r="G10" s="56"/>
      <c r="H10" s="56"/>
      <c r="I10" s="56"/>
      <c r="J10" s="56"/>
      <c r="K10" s="15"/>
      <c r="L10" s="23"/>
    </row>
    <row r="11" spans="2:12" ht="18" customHeight="1" x14ac:dyDescent="0.45">
      <c r="B11" s="22"/>
      <c r="C11" s="15" t="s">
        <v>216</v>
      </c>
      <c r="D11" s="16" t="s">
        <v>20</v>
      </c>
      <c r="E11" s="28">
        <v>2400</v>
      </c>
      <c r="F11" s="15" t="s">
        <v>25</v>
      </c>
      <c r="G11" s="111" t="s">
        <v>88</v>
      </c>
      <c r="H11" s="111"/>
      <c r="I11" s="111"/>
      <c r="J11" s="111"/>
      <c r="K11" s="111"/>
      <c r="L11" s="77"/>
    </row>
    <row r="12" spans="2:12" ht="18" customHeight="1" x14ac:dyDescent="0.45">
      <c r="B12" s="22"/>
      <c r="C12" s="15" t="s">
        <v>214</v>
      </c>
      <c r="D12" s="16" t="s">
        <v>21</v>
      </c>
      <c r="E12" s="27">
        <f>2.1*10^6</f>
        <v>2100000</v>
      </c>
      <c r="F12" s="15" t="s">
        <v>25</v>
      </c>
      <c r="G12" s="109" t="s">
        <v>89</v>
      </c>
      <c r="H12" s="109"/>
      <c r="I12" s="109"/>
      <c r="J12" s="109"/>
      <c r="K12" s="109"/>
      <c r="L12" s="77"/>
    </row>
    <row r="13" spans="2:12" ht="20.25" thickBot="1" x14ac:dyDescent="0.55000000000000004">
      <c r="B13" s="22"/>
      <c r="C13" s="110" t="s">
        <v>212</v>
      </c>
      <c r="D13" s="110"/>
      <c r="E13" s="55"/>
      <c r="F13" s="56"/>
      <c r="G13" s="78"/>
      <c r="H13" s="78"/>
      <c r="I13" s="78"/>
      <c r="J13" s="78"/>
      <c r="K13" s="79"/>
      <c r="L13" s="77"/>
    </row>
    <row r="14" spans="2:12" ht="18" customHeight="1" x14ac:dyDescent="0.45">
      <c r="B14" s="22"/>
      <c r="C14" s="15" t="s">
        <v>101</v>
      </c>
      <c r="D14" s="17" t="s">
        <v>32</v>
      </c>
      <c r="E14" s="28">
        <v>10</v>
      </c>
      <c r="F14" s="15" t="s">
        <v>11</v>
      </c>
      <c r="G14" s="112" t="s">
        <v>69</v>
      </c>
      <c r="H14" s="112"/>
      <c r="I14" s="112"/>
      <c r="J14" s="112"/>
      <c r="K14" s="112"/>
      <c r="L14" s="77"/>
    </row>
    <row r="15" spans="2:12" ht="18" customHeight="1" x14ac:dyDescent="0.45">
      <c r="B15" s="22"/>
      <c r="C15" s="17" t="s">
        <v>207</v>
      </c>
      <c r="D15" s="15" t="s">
        <v>76</v>
      </c>
      <c r="E15" s="28">
        <v>2500</v>
      </c>
      <c r="F15" s="15" t="s">
        <v>35</v>
      </c>
      <c r="G15" s="109" t="s">
        <v>210</v>
      </c>
      <c r="H15" s="109"/>
      <c r="I15" s="109"/>
      <c r="J15" s="109"/>
      <c r="K15" s="109"/>
      <c r="L15" s="77"/>
    </row>
    <row r="16" spans="2:12" ht="18" customHeight="1" x14ac:dyDescent="0.45">
      <c r="B16" s="22"/>
      <c r="C16" s="17" t="s">
        <v>208</v>
      </c>
      <c r="D16" s="15" t="s">
        <v>76</v>
      </c>
      <c r="E16" s="28">
        <v>2200</v>
      </c>
      <c r="F16" s="15" t="s">
        <v>35</v>
      </c>
      <c r="G16" s="81" t="s">
        <v>209</v>
      </c>
      <c r="H16" s="81"/>
      <c r="I16" s="81"/>
      <c r="J16" s="81"/>
      <c r="K16" s="81"/>
      <c r="L16" s="77"/>
    </row>
    <row r="17" spans="2:12" ht="18" customHeight="1" x14ac:dyDescent="0.45">
      <c r="B17" s="22"/>
      <c r="C17" s="15" t="s">
        <v>227</v>
      </c>
      <c r="D17" s="17" t="s">
        <v>75</v>
      </c>
      <c r="E17" s="28">
        <v>300</v>
      </c>
      <c r="F17" s="15" t="s">
        <v>25</v>
      </c>
      <c r="G17" s="109" t="s">
        <v>90</v>
      </c>
      <c r="H17" s="109"/>
      <c r="I17" s="109"/>
      <c r="J17" s="109"/>
      <c r="K17" s="109"/>
      <c r="L17" s="77"/>
    </row>
    <row r="18" spans="2:12" ht="18" customHeight="1" x14ac:dyDescent="0.45">
      <c r="B18" s="22"/>
      <c r="C18" s="15" t="s">
        <v>228</v>
      </c>
      <c r="D18" s="17" t="s">
        <v>63</v>
      </c>
      <c r="E18" s="29">
        <f>(3300*SQRT(E17/10)+6900)*(E15/100/23)^1.5*10</f>
        <v>283022.55683406937</v>
      </c>
      <c r="F18" s="15" t="s">
        <v>25</v>
      </c>
      <c r="G18" s="109" t="s">
        <v>91</v>
      </c>
      <c r="H18" s="109"/>
      <c r="I18" s="109"/>
      <c r="J18" s="109"/>
      <c r="K18" s="109"/>
      <c r="L18" s="77"/>
    </row>
    <row r="19" spans="2:12" ht="20.25" thickBot="1" x14ac:dyDescent="0.55000000000000004">
      <c r="B19" s="22"/>
      <c r="C19" s="110" t="s">
        <v>84</v>
      </c>
      <c r="D19" s="110"/>
      <c r="E19" s="55"/>
      <c r="F19" s="56"/>
      <c r="G19" s="78"/>
      <c r="H19" s="78"/>
      <c r="I19" s="78"/>
      <c r="J19" s="78"/>
      <c r="K19" s="79"/>
      <c r="L19" s="77"/>
    </row>
    <row r="20" spans="2:12" x14ac:dyDescent="0.45">
      <c r="B20" s="22"/>
      <c r="C20" s="15"/>
      <c r="D20" s="17"/>
      <c r="E20" s="29"/>
      <c r="F20" s="15"/>
      <c r="G20" s="79"/>
      <c r="H20" s="79"/>
      <c r="I20" s="79"/>
      <c r="J20" s="80"/>
      <c r="K20" s="79"/>
      <c r="L20" s="77"/>
    </row>
    <row r="21" spans="2:12" ht="18" customHeight="1" x14ac:dyDescent="0.45">
      <c r="B21" s="22"/>
      <c r="C21" s="17" t="s">
        <v>85</v>
      </c>
      <c r="D21" s="12" t="s">
        <v>105</v>
      </c>
      <c r="E21" s="28">
        <v>7</v>
      </c>
      <c r="F21" s="15" t="s">
        <v>30</v>
      </c>
      <c r="G21" s="109" t="s">
        <v>108</v>
      </c>
      <c r="H21" s="109"/>
      <c r="I21" s="109"/>
      <c r="J21" s="109"/>
      <c r="K21" s="109"/>
      <c r="L21" s="77"/>
    </row>
    <row r="22" spans="2:12" ht="18" customHeight="1" x14ac:dyDescent="0.45">
      <c r="B22" s="22"/>
      <c r="C22" s="15" t="s">
        <v>86</v>
      </c>
      <c r="D22" s="17" t="s">
        <v>106</v>
      </c>
      <c r="E22" s="28">
        <v>3.5</v>
      </c>
      <c r="F22" s="15" t="s">
        <v>30</v>
      </c>
      <c r="G22" s="109" t="s">
        <v>215</v>
      </c>
      <c r="H22" s="109"/>
      <c r="I22" s="109"/>
      <c r="J22" s="109"/>
      <c r="K22" s="109"/>
      <c r="L22" s="77"/>
    </row>
    <row r="23" spans="2:12" ht="18" customHeight="1" x14ac:dyDescent="0.45">
      <c r="B23" s="22"/>
      <c r="C23" s="15" t="s">
        <v>196</v>
      </c>
      <c r="D23" s="28" t="s">
        <v>197</v>
      </c>
      <c r="E23" s="28"/>
      <c r="F23" s="15"/>
      <c r="G23" s="81"/>
      <c r="H23" s="81"/>
      <c r="I23" s="81"/>
      <c r="J23" s="81"/>
      <c r="K23" s="81"/>
      <c r="L23" s="77"/>
    </row>
    <row r="24" spans="2:12" ht="18" customHeight="1" x14ac:dyDescent="0.45">
      <c r="B24" s="22"/>
      <c r="C24" s="15" t="s">
        <v>195</v>
      </c>
      <c r="D24" s="13" t="s">
        <v>107</v>
      </c>
      <c r="E24" s="38">
        <f>IF(D23="middle Beam",E21/4*100,E21/8*100)</f>
        <v>87.5</v>
      </c>
      <c r="F24" s="12" t="s">
        <v>11</v>
      </c>
      <c r="G24" s="81" t="s">
        <v>92</v>
      </c>
      <c r="H24" s="92"/>
      <c r="I24" s="92"/>
      <c r="J24" s="92"/>
      <c r="K24" s="92"/>
      <c r="L24" s="93"/>
    </row>
    <row r="25" spans="2:12" ht="18" customHeight="1" x14ac:dyDescent="0.45">
      <c r="B25" s="22"/>
      <c r="C25" s="15" t="s">
        <v>200</v>
      </c>
      <c r="D25" s="13" t="s">
        <v>109</v>
      </c>
      <c r="E25" s="28">
        <f>E22*100</f>
        <v>350</v>
      </c>
      <c r="F25" s="15" t="s">
        <v>11</v>
      </c>
      <c r="G25" s="81" t="s">
        <v>93</v>
      </c>
      <c r="H25" s="92"/>
      <c r="I25" s="92"/>
      <c r="J25" s="92"/>
      <c r="K25" s="92"/>
      <c r="L25" s="93"/>
    </row>
    <row r="26" spans="2:12" ht="18" customHeight="1" x14ac:dyDescent="0.45">
      <c r="B26" s="22"/>
      <c r="C26" s="15"/>
      <c r="D26" s="13"/>
      <c r="E26" s="28"/>
      <c r="F26" s="113" t="s">
        <v>204</v>
      </c>
      <c r="G26" s="113"/>
      <c r="H26" s="113"/>
      <c r="I26" s="113"/>
      <c r="J26" s="113"/>
      <c r="K26" s="114"/>
      <c r="L26" s="94" t="s">
        <v>230</v>
      </c>
    </row>
    <row r="27" spans="2:12" ht="38.25" customHeight="1" x14ac:dyDescent="0.45">
      <c r="B27" s="22"/>
      <c r="C27" s="15"/>
      <c r="D27" s="74" t="s">
        <v>198</v>
      </c>
      <c r="E27" s="75">
        <f>IF(D23="Edge beam ",D85/20+6*E14,D85/20+16*E14)</f>
        <v>75</v>
      </c>
      <c r="F27" s="76" t="s">
        <v>11</v>
      </c>
      <c r="G27" s="82" t="s">
        <v>199</v>
      </c>
      <c r="H27" s="92"/>
      <c r="I27" s="92"/>
      <c r="J27" s="92"/>
      <c r="K27" s="92"/>
      <c r="L27" s="93"/>
    </row>
    <row r="28" spans="2:12" ht="19.5" customHeight="1" x14ac:dyDescent="0.45">
      <c r="B28" s="22"/>
      <c r="C28" s="15"/>
      <c r="D28" s="74"/>
      <c r="E28" s="75"/>
      <c r="F28" s="113" t="s">
        <v>203</v>
      </c>
      <c r="G28" s="113"/>
      <c r="H28" s="113"/>
      <c r="I28" s="113"/>
      <c r="J28" s="113"/>
      <c r="K28" s="114"/>
      <c r="L28" s="94" t="s">
        <v>230</v>
      </c>
    </row>
    <row r="29" spans="2:12" ht="18" customHeight="1" x14ac:dyDescent="0.45">
      <c r="B29" s="22"/>
      <c r="C29" s="15" t="s">
        <v>201</v>
      </c>
      <c r="D29" s="13" t="s">
        <v>202</v>
      </c>
      <c r="E29" s="38">
        <v>300</v>
      </c>
      <c r="F29" s="12" t="s">
        <v>11</v>
      </c>
      <c r="G29" s="81" t="s">
        <v>94</v>
      </c>
      <c r="H29" s="79"/>
      <c r="I29" s="79"/>
      <c r="J29" s="79"/>
      <c r="K29" s="79"/>
      <c r="L29" s="77"/>
    </row>
    <row r="30" spans="2:12" ht="18" customHeight="1" x14ac:dyDescent="0.45">
      <c r="B30" s="22"/>
      <c r="C30" s="15"/>
      <c r="D30" s="13"/>
      <c r="E30" s="38"/>
      <c r="F30" s="15"/>
      <c r="G30" s="58"/>
      <c r="H30" s="58"/>
      <c r="I30" s="58"/>
      <c r="J30" s="58"/>
      <c r="K30" s="58"/>
      <c r="L30" s="23"/>
    </row>
    <row r="31" spans="2:12" ht="18" customHeight="1" x14ac:dyDescent="0.45">
      <c r="B31" s="22"/>
      <c r="C31" s="15"/>
      <c r="D31" s="13"/>
      <c r="E31" s="38"/>
      <c r="F31" s="15"/>
      <c r="G31" s="58"/>
      <c r="H31" s="58"/>
      <c r="I31" s="58"/>
      <c r="J31" s="58"/>
      <c r="K31" s="58"/>
      <c r="L31" s="23"/>
    </row>
    <row r="32" spans="2:12" ht="18" customHeight="1" x14ac:dyDescent="0.45">
      <c r="B32" s="22"/>
      <c r="C32" s="15"/>
      <c r="D32" s="13"/>
      <c r="E32" s="38"/>
      <c r="F32" s="15"/>
      <c r="G32" s="58"/>
      <c r="H32" s="58"/>
      <c r="I32" s="58"/>
      <c r="J32" s="58"/>
      <c r="K32" s="58"/>
      <c r="L32" s="23"/>
    </row>
    <row r="33" spans="2:12" ht="18" customHeight="1" x14ac:dyDescent="0.45">
      <c r="B33" s="22"/>
      <c r="C33" s="15"/>
      <c r="D33" s="13"/>
      <c r="E33" s="38"/>
      <c r="F33" s="15"/>
      <c r="G33" s="58"/>
      <c r="H33" s="58"/>
      <c r="I33" s="58"/>
      <c r="J33" s="58"/>
      <c r="K33" s="58"/>
      <c r="L33" s="23"/>
    </row>
    <row r="34" spans="2:12" ht="18" customHeight="1" x14ac:dyDescent="0.45">
      <c r="B34" s="22"/>
      <c r="C34" s="15"/>
      <c r="D34" s="13"/>
      <c r="E34" s="38"/>
      <c r="F34" s="15"/>
      <c r="G34" s="58"/>
      <c r="H34" s="58"/>
      <c r="I34" s="58"/>
      <c r="J34" s="58"/>
      <c r="K34" s="58"/>
      <c r="L34" s="23"/>
    </row>
    <row r="35" spans="2:12" ht="18" customHeight="1" x14ac:dyDescent="0.45">
      <c r="B35" s="22"/>
      <c r="C35" s="15"/>
      <c r="D35" s="13"/>
      <c r="E35" s="38"/>
      <c r="F35" s="15"/>
      <c r="G35" s="58"/>
      <c r="H35" s="58"/>
      <c r="I35" s="58"/>
      <c r="J35" s="58"/>
      <c r="K35" s="58"/>
      <c r="L35" s="23"/>
    </row>
    <row r="36" spans="2:12" ht="18" customHeight="1" x14ac:dyDescent="0.45">
      <c r="B36" s="22"/>
      <c r="C36" s="15"/>
      <c r="D36" s="13"/>
      <c r="E36" s="38"/>
      <c r="F36" s="15"/>
      <c r="G36" s="58"/>
      <c r="H36" s="58"/>
      <c r="I36" s="58"/>
      <c r="J36" s="58"/>
      <c r="K36" s="58"/>
      <c r="L36" s="23"/>
    </row>
    <row r="37" spans="2:12" ht="18" customHeight="1" x14ac:dyDescent="0.45">
      <c r="B37" s="22"/>
      <c r="C37" s="15"/>
      <c r="D37" s="13"/>
      <c r="E37" s="38"/>
      <c r="F37" s="15"/>
      <c r="G37" s="58"/>
      <c r="H37" s="58"/>
      <c r="I37" s="58"/>
      <c r="J37" s="58"/>
      <c r="K37" s="58"/>
      <c r="L37" s="23"/>
    </row>
    <row r="38" spans="2:12" ht="18" customHeight="1" x14ac:dyDescent="0.45">
      <c r="B38" s="22"/>
      <c r="C38" s="15"/>
      <c r="D38" s="13"/>
      <c r="E38" s="38"/>
      <c r="F38" s="15"/>
      <c r="G38" s="58"/>
      <c r="H38" s="58"/>
      <c r="I38" s="58"/>
      <c r="J38" s="58"/>
      <c r="K38" s="58"/>
      <c r="L38" s="23"/>
    </row>
    <row r="39" spans="2:12" ht="18" customHeight="1" x14ac:dyDescent="0.45">
      <c r="B39" s="22"/>
      <c r="C39" s="15"/>
      <c r="D39" s="13"/>
      <c r="E39" s="38"/>
      <c r="F39" s="15"/>
      <c r="G39" s="58"/>
      <c r="H39" s="58"/>
      <c r="I39" s="58"/>
      <c r="J39" s="58"/>
      <c r="K39" s="58"/>
      <c r="L39" s="23"/>
    </row>
    <row r="40" spans="2:12" ht="18" customHeight="1" x14ac:dyDescent="0.45">
      <c r="B40" s="22"/>
      <c r="C40" s="15"/>
      <c r="D40" s="13"/>
      <c r="E40" s="38"/>
      <c r="F40" s="15"/>
      <c r="G40" s="58"/>
      <c r="H40" s="58"/>
      <c r="I40" s="58"/>
      <c r="J40" s="58"/>
      <c r="K40" s="58"/>
      <c r="L40" s="23"/>
    </row>
    <row r="41" spans="2:12" ht="18" customHeight="1" x14ac:dyDescent="0.45">
      <c r="B41" s="22"/>
      <c r="C41" s="15"/>
      <c r="D41" s="13"/>
      <c r="E41" s="38"/>
      <c r="F41" s="15"/>
      <c r="G41" s="58"/>
      <c r="H41" s="58"/>
      <c r="I41" s="58"/>
      <c r="J41" s="58"/>
      <c r="K41" s="58"/>
      <c r="L41" s="23"/>
    </row>
    <row r="42" spans="2:12" ht="18" customHeight="1" x14ac:dyDescent="0.45">
      <c r="B42" s="22"/>
      <c r="C42" s="15"/>
      <c r="D42" s="13"/>
      <c r="E42" s="38"/>
      <c r="F42" s="15"/>
      <c r="G42" s="58"/>
      <c r="H42" s="58"/>
      <c r="I42" s="58"/>
      <c r="J42" s="58"/>
      <c r="K42" s="58"/>
      <c r="L42" s="23"/>
    </row>
    <row r="43" spans="2:12" ht="18" customHeight="1" x14ac:dyDescent="0.45">
      <c r="B43" s="22"/>
      <c r="C43" s="15"/>
      <c r="D43" s="13"/>
      <c r="E43" s="38"/>
      <c r="F43" s="15"/>
      <c r="G43" s="58"/>
      <c r="H43" s="58"/>
      <c r="I43" s="58"/>
      <c r="J43" s="58"/>
      <c r="K43" s="58"/>
      <c r="L43" s="23"/>
    </row>
    <row r="44" spans="2:12" ht="18" customHeight="1" x14ac:dyDescent="0.45">
      <c r="B44" s="22"/>
      <c r="C44" s="15"/>
      <c r="D44" s="13"/>
      <c r="E44" s="38"/>
      <c r="F44" s="15"/>
      <c r="G44" s="58"/>
      <c r="H44" s="58"/>
      <c r="I44" s="58"/>
      <c r="J44" s="58"/>
      <c r="K44" s="58"/>
      <c r="L44" s="23"/>
    </row>
    <row r="45" spans="2:12" ht="18" customHeight="1" x14ac:dyDescent="0.45">
      <c r="B45" s="22"/>
      <c r="C45" s="15"/>
      <c r="D45" s="13"/>
      <c r="E45" s="38"/>
      <c r="F45" s="15"/>
      <c r="G45" s="58"/>
      <c r="H45" s="58"/>
      <c r="I45" s="58"/>
      <c r="J45" s="58"/>
      <c r="K45" s="58"/>
      <c r="L45" s="23"/>
    </row>
    <row r="46" spans="2:12" ht="18" customHeight="1" x14ac:dyDescent="0.45">
      <c r="B46" s="22"/>
      <c r="C46" s="15"/>
      <c r="D46" s="13"/>
      <c r="E46" s="38"/>
      <c r="F46" s="15"/>
      <c r="G46" s="58"/>
      <c r="H46" s="58"/>
      <c r="I46" s="58"/>
      <c r="J46" s="58"/>
      <c r="K46" s="58"/>
      <c r="L46" s="23"/>
    </row>
    <row r="47" spans="2:12" ht="18" customHeight="1" x14ac:dyDescent="0.45">
      <c r="B47" s="22"/>
      <c r="C47" s="15"/>
      <c r="D47" s="13"/>
      <c r="E47" s="38"/>
      <c r="F47" s="15"/>
      <c r="G47" s="58"/>
      <c r="H47" s="58"/>
      <c r="I47" s="58"/>
      <c r="J47" s="58"/>
      <c r="K47" s="58"/>
      <c r="L47" s="23"/>
    </row>
    <row r="48" spans="2:12" ht="18" customHeight="1" x14ac:dyDescent="0.45">
      <c r="B48" s="22"/>
      <c r="C48" s="15"/>
      <c r="D48" s="13"/>
      <c r="E48" s="38"/>
      <c r="F48" s="15"/>
      <c r="G48" s="58"/>
      <c r="H48" s="58"/>
      <c r="I48" s="58"/>
      <c r="J48" s="58"/>
      <c r="K48" s="58"/>
      <c r="L48" s="23"/>
    </row>
    <row r="49" spans="2:20" ht="18" customHeight="1" x14ac:dyDescent="0.45">
      <c r="B49" s="22"/>
      <c r="C49" s="15"/>
      <c r="D49" s="13"/>
      <c r="E49" s="38"/>
      <c r="F49" s="15"/>
      <c r="G49" s="58"/>
      <c r="H49" s="58"/>
      <c r="I49" s="58"/>
      <c r="J49" s="58"/>
      <c r="K49" s="58"/>
      <c r="L49" s="23"/>
    </row>
    <row r="50" spans="2:20" ht="18" customHeight="1" x14ac:dyDescent="0.45">
      <c r="B50" s="22"/>
      <c r="C50" s="15"/>
      <c r="D50" s="13"/>
      <c r="E50" s="38"/>
      <c r="F50" s="15"/>
      <c r="G50" s="58"/>
      <c r="H50" s="58"/>
      <c r="I50" s="58"/>
      <c r="J50" s="58"/>
      <c r="K50" s="58"/>
      <c r="L50" s="23"/>
    </row>
    <row r="51" spans="2:20" ht="18" customHeight="1" x14ac:dyDescent="0.45">
      <c r="B51" s="22"/>
      <c r="C51" s="15"/>
      <c r="D51" s="13"/>
      <c r="E51" s="38"/>
      <c r="G51" s="58"/>
      <c r="H51" s="58"/>
      <c r="I51" s="58"/>
      <c r="J51" s="58"/>
      <c r="K51" s="58"/>
      <c r="L51" s="23"/>
    </row>
    <row r="52" spans="2:20" ht="20.25" thickBot="1" x14ac:dyDescent="0.55000000000000004">
      <c r="B52" s="22"/>
      <c r="C52" s="110" t="s">
        <v>71</v>
      </c>
      <c r="D52" s="110"/>
      <c r="E52" s="55"/>
      <c r="F52" s="56"/>
      <c r="G52" s="56"/>
      <c r="H52" s="56"/>
      <c r="I52" s="56"/>
      <c r="J52" s="56"/>
      <c r="K52" s="15"/>
      <c r="L52" s="23"/>
    </row>
    <row r="53" spans="2:20" ht="18" customHeight="1" x14ac:dyDescent="0.45">
      <c r="B53" s="22"/>
      <c r="C53" s="15" t="s">
        <v>218</v>
      </c>
      <c r="D53" s="17" t="s">
        <v>24</v>
      </c>
      <c r="E53" s="28">
        <v>200</v>
      </c>
      <c r="F53" s="15" t="s">
        <v>34</v>
      </c>
      <c r="G53" s="109" t="s">
        <v>95</v>
      </c>
      <c r="H53" s="109"/>
      <c r="I53" s="109"/>
      <c r="J53" s="109"/>
      <c r="K53" s="109"/>
      <c r="L53" s="23"/>
    </row>
    <row r="54" spans="2:20" ht="18" customHeight="1" x14ac:dyDescent="0.45">
      <c r="B54" s="22"/>
      <c r="C54" s="15" t="s">
        <v>217</v>
      </c>
      <c r="D54" s="17" t="s">
        <v>23</v>
      </c>
      <c r="E54" s="28">
        <v>70</v>
      </c>
      <c r="F54" s="15" t="s">
        <v>34</v>
      </c>
      <c r="G54" s="109" t="s">
        <v>96</v>
      </c>
      <c r="H54" s="109"/>
      <c r="I54" s="109"/>
      <c r="J54" s="109"/>
      <c r="K54" s="109"/>
      <c r="L54" s="23"/>
    </row>
    <row r="55" spans="2:20" ht="18" customHeight="1" x14ac:dyDescent="0.45">
      <c r="B55" s="22"/>
      <c r="C55" s="15" t="s">
        <v>219</v>
      </c>
      <c r="D55" s="17" t="s">
        <v>220</v>
      </c>
      <c r="E55" s="28">
        <v>0</v>
      </c>
      <c r="F55" s="15" t="s">
        <v>34</v>
      </c>
      <c r="G55" s="81" t="s">
        <v>221</v>
      </c>
      <c r="H55" s="81"/>
      <c r="I55" s="81"/>
      <c r="J55" s="81"/>
      <c r="K55" s="81"/>
      <c r="L55" s="23"/>
    </row>
    <row r="56" spans="2:20" x14ac:dyDescent="0.45">
      <c r="B56" s="22"/>
      <c r="C56" s="15"/>
      <c r="D56" s="15"/>
      <c r="E56" s="26"/>
      <c r="F56" s="15"/>
      <c r="G56" s="81"/>
      <c r="H56" s="81"/>
      <c r="I56" s="81"/>
      <c r="J56" s="81"/>
      <c r="K56" s="81"/>
      <c r="L56" s="23"/>
    </row>
    <row r="57" spans="2:20" x14ac:dyDescent="0.45">
      <c r="B57" s="22"/>
      <c r="C57" s="15" t="s">
        <v>99</v>
      </c>
      <c r="D57" s="17" t="s">
        <v>36</v>
      </c>
      <c r="E57" s="30">
        <f>E14/100*E22*E15+I85</f>
        <v>917.20000000000016</v>
      </c>
      <c r="F57" s="15" t="s">
        <v>10</v>
      </c>
      <c r="G57" s="81" t="s">
        <v>110</v>
      </c>
      <c r="H57" s="79"/>
      <c r="I57" s="81"/>
      <c r="J57" s="81"/>
      <c r="K57" s="81"/>
      <c r="L57" s="23"/>
    </row>
    <row r="58" spans="2:20" x14ac:dyDescent="0.45">
      <c r="B58" s="22"/>
      <c r="C58" s="15" t="s">
        <v>98</v>
      </c>
      <c r="D58" s="17" t="s">
        <v>37</v>
      </c>
      <c r="E58" s="30">
        <f>(E54+E55)*E22</f>
        <v>245</v>
      </c>
      <c r="F58" s="15" t="s">
        <v>10</v>
      </c>
      <c r="G58" s="81" t="s">
        <v>111</v>
      </c>
      <c r="H58" s="79"/>
      <c r="I58" s="81"/>
      <c r="J58" s="81"/>
      <c r="K58" s="81"/>
      <c r="L58" s="23"/>
    </row>
    <row r="59" spans="2:20" x14ac:dyDescent="0.45">
      <c r="B59" s="22"/>
      <c r="C59" s="15" t="s">
        <v>33</v>
      </c>
      <c r="D59" s="17" t="s">
        <v>38</v>
      </c>
      <c r="E59" s="30">
        <f>E53*E22</f>
        <v>700</v>
      </c>
      <c r="F59" s="15" t="s">
        <v>10</v>
      </c>
      <c r="G59" s="81" t="s">
        <v>112</v>
      </c>
      <c r="H59" s="79"/>
      <c r="I59" s="81"/>
      <c r="J59" s="81"/>
      <c r="K59" s="81"/>
      <c r="L59" s="23"/>
    </row>
    <row r="60" spans="2:20" x14ac:dyDescent="0.45">
      <c r="B60" s="22"/>
      <c r="C60" s="15"/>
      <c r="D60" s="15"/>
      <c r="E60" s="26"/>
      <c r="F60" s="15"/>
      <c r="G60" s="15"/>
      <c r="H60" s="15"/>
      <c r="I60" s="15"/>
      <c r="J60" s="15"/>
      <c r="K60" s="15"/>
      <c r="L60" s="23"/>
    </row>
    <row r="61" spans="2:20" ht="20.25" thickBot="1" x14ac:dyDescent="0.55000000000000004">
      <c r="B61" s="22"/>
      <c r="C61" s="110" t="s">
        <v>72</v>
      </c>
      <c r="D61" s="110"/>
      <c r="E61" s="55"/>
      <c r="F61" s="56"/>
      <c r="G61" s="56"/>
      <c r="H61" s="56"/>
      <c r="I61" s="56"/>
      <c r="J61" s="56"/>
      <c r="K61" s="15"/>
      <c r="L61" s="23"/>
    </row>
    <row r="62" spans="2:20" x14ac:dyDescent="0.45">
      <c r="B62" s="22"/>
      <c r="C62" s="15" t="s">
        <v>39</v>
      </c>
      <c r="D62" s="17" t="s">
        <v>102</v>
      </c>
      <c r="E62" s="28">
        <v>1.6</v>
      </c>
      <c r="F62" s="15"/>
      <c r="G62" s="15"/>
      <c r="H62" s="15"/>
      <c r="I62" s="15"/>
      <c r="J62" s="15"/>
      <c r="K62" s="15"/>
      <c r="L62" s="23"/>
    </row>
    <row r="63" spans="2:20" x14ac:dyDescent="0.45">
      <c r="B63" s="22"/>
      <c r="C63" s="15"/>
      <c r="D63" s="17" t="s">
        <v>103</v>
      </c>
      <c r="E63" s="28">
        <v>1.2</v>
      </c>
      <c r="F63" s="17"/>
      <c r="G63" s="18"/>
      <c r="H63" s="15"/>
      <c r="I63" s="15"/>
      <c r="J63" s="15"/>
      <c r="K63" s="15"/>
      <c r="L63" s="23"/>
    </row>
    <row r="64" spans="2:20" x14ac:dyDescent="0.45">
      <c r="B64" s="22"/>
      <c r="C64" s="15"/>
      <c r="D64" s="17" t="str">
        <f>E63 &amp; "D + " &amp; E62 &amp; "L"</f>
        <v>1.2D + 1.6L</v>
      </c>
      <c r="E64" s="24">
        <f>1.2*(E57+E58)+1.6*E59</f>
        <v>2514.6400000000003</v>
      </c>
      <c r="F64" s="17"/>
      <c r="G64" s="18"/>
      <c r="H64" s="15"/>
      <c r="I64" s="15"/>
      <c r="J64" s="15"/>
      <c r="K64" s="15"/>
      <c r="L64" s="23"/>
      <c r="R64" s="12">
        <v>0</v>
      </c>
      <c r="S64" s="12">
        <v>0</v>
      </c>
      <c r="T64" s="90">
        <f>-E70</f>
        <v>-8801.2400000000016</v>
      </c>
    </row>
    <row r="65" spans="2:20" x14ac:dyDescent="0.45">
      <c r="B65" s="22"/>
      <c r="C65" s="15"/>
      <c r="D65" s="12" t="s">
        <v>104</v>
      </c>
      <c r="E65" s="24">
        <f>1.4*(E57+E58)</f>
        <v>1627.0800000000004</v>
      </c>
      <c r="F65" s="17"/>
      <c r="G65" s="18"/>
      <c r="H65" s="15"/>
      <c r="I65" s="15"/>
      <c r="J65" s="15"/>
      <c r="K65" s="15"/>
      <c r="L65" s="23"/>
      <c r="R65" s="12">
        <f>E21/2</f>
        <v>3.5</v>
      </c>
      <c r="S65" s="90">
        <f>E71</f>
        <v>15402.170000000002</v>
      </c>
      <c r="T65" s="90">
        <v>0</v>
      </c>
    </row>
    <row r="66" spans="2:20" x14ac:dyDescent="0.45">
      <c r="B66" s="22"/>
      <c r="C66" s="15"/>
      <c r="D66" s="17" t="s">
        <v>113</v>
      </c>
      <c r="E66" s="24">
        <f>MAX(E64:E65)</f>
        <v>2514.6400000000003</v>
      </c>
      <c r="F66" s="17"/>
      <c r="G66" s="18"/>
      <c r="H66" s="15"/>
      <c r="I66" s="15"/>
      <c r="J66" s="15"/>
      <c r="K66" s="15"/>
      <c r="L66" s="23"/>
      <c r="R66" s="12">
        <f>E21</f>
        <v>7</v>
      </c>
      <c r="S66" s="12">
        <v>0</v>
      </c>
      <c r="T66" s="90">
        <f>E70</f>
        <v>8801.2400000000016</v>
      </c>
    </row>
    <row r="67" spans="2:20" ht="20.25" thickBot="1" x14ac:dyDescent="0.55000000000000004">
      <c r="B67" s="22"/>
      <c r="C67" s="110" t="s">
        <v>73</v>
      </c>
      <c r="D67" s="110"/>
      <c r="E67" s="55"/>
      <c r="F67" s="56"/>
      <c r="G67" s="56"/>
      <c r="H67" s="56"/>
      <c r="I67" s="56"/>
      <c r="J67" s="56"/>
      <c r="K67" s="15"/>
      <c r="L67" s="23"/>
      <c r="R67" s="12">
        <v>0</v>
      </c>
      <c r="S67" s="12">
        <v>0</v>
      </c>
    </row>
    <row r="68" spans="2:20" x14ac:dyDescent="0.45">
      <c r="B68" s="22"/>
      <c r="C68" s="15" t="s">
        <v>80</v>
      </c>
      <c r="D68" s="17" t="s">
        <v>40</v>
      </c>
      <c r="E68" s="59">
        <f>E66</f>
        <v>2514.6400000000003</v>
      </c>
      <c r="F68" s="15" t="s">
        <v>68</v>
      </c>
      <c r="G68" s="15"/>
      <c r="H68" s="15"/>
      <c r="I68" s="15"/>
      <c r="J68" s="15"/>
      <c r="K68" s="15"/>
      <c r="L68" s="23"/>
      <c r="R68" s="12">
        <f>R66</f>
        <v>7</v>
      </c>
      <c r="S68" s="12">
        <v>0</v>
      </c>
    </row>
    <row r="69" spans="2:20" ht="18" customHeight="1" x14ac:dyDescent="0.45">
      <c r="B69" s="22"/>
      <c r="C69" s="15" t="s">
        <v>81</v>
      </c>
      <c r="D69" s="17" t="s">
        <v>66</v>
      </c>
      <c r="E69" s="31">
        <f>100*E14^2/6*1.9*SQRT(E17)/100</f>
        <v>548.4827557301445</v>
      </c>
      <c r="F69" s="15" t="s">
        <v>67</v>
      </c>
      <c r="G69" s="115"/>
      <c r="H69" s="115"/>
      <c r="I69" s="115"/>
      <c r="J69" s="115"/>
      <c r="K69" s="15"/>
      <c r="L69" s="23"/>
    </row>
    <row r="70" spans="2:20" x14ac:dyDescent="0.45">
      <c r="B70" s="22"/>
      <c r="C70" s="15" t="s">
        <v>223</v>
      </c>
      <c r="D70" s="17" t="s">
        <v>41</v>
      </c>
      <c r="E70" s="31">
        <f>E68*E21/2</f>
        <v>8801.2400000000016</v>
      </c>
      <c r="F70" s="15" t="s">
        <v>44</v>
      </c>
      <c r="G70" s="15"/>
      <c r="H70" s="15"/>
      <c r="I70" s="15"/>
      <c r="J70" s="15"/>
      <c r="K70" s="15"/>
      <c r="L70" s="23"/>
    </row>
    <row r="71" spans="2:20" x14ac:dyDescent="0.45">
      <c r="B71" s="22"/>
      <c r="C71" s="15" t="s">
        <v>222</v>
      </c>
      <c r="D71" s="17" t="s">
        <v>42</v>
      </c>
      <c r="E71" s="31">
        <f>E68*E21^2/8</f>
        <v>15402.170000000002</v>
      </c>
      <c r="F71" s="15" t="s">
        <v>43</v>
      </c>
      <c r="G71" s="15"/>
      <c r="H71" s="15"/>
      <c r="I71" s="15"/>
      <c r="J71" s="15"/>
      <c r="K71" s="15"/>
      <c r="L71" s="23"/>
    </row>
    <row r="72" spans="2:20" ht="18" x14ac:dyDescent="0.45">
      <c r="B72" s="22"/>
      <c r="C72" s="15"/>
      <c r="D72" s="15"/>
      <c r="E72" s="26"/>
      <c r="F72" s="15"/>
      <c r="G72" s="15"/>
      <c r="H72" s="15"/>
      <c r="I72" s="15"/>
      <c r="J72" s="15"/>
      <c r="K72" s="15"/>
      <c r="L72" s="23"/>
      <c r="N72" s="5" t="s">
        <v>12</v>
      </c>
      <c r="O72" s="6" t="s">
        <v>2</v>
      </c>
      <c r="P72" s="6" t="s">
        <v>7</v>
      </c>
      <c r="Q72" s="43" t="s">
        <v>31</v>
      </c>
      <c r="R72" s="6" t="s">
        <v>26</v>
      </c>
      <c r="S72" s="6" t="s">
        <v>8</v>
      </c>
      <c r="T72" s="6" t="s">
        <v>3</v>
      </c>
    </row>
    <row r="73" spans="2:20" ht="18" x14ac:dyDescent="0.45">
      <c r="B73" s="22"/>
      <c r="C73" s="15"/>
      <c r="D73" s="17" t="s">
        <v>45</v>
      </c>
      <c r="E73" s="28">
        <v>1.5</v>
      </c>
      <c r="F73" s="15"/>
      <c r="G73" s="15"/>
      <c r="H73" s="15"/>
      <c r="I73" s="15"/>
      <c r="J73" s="15"/>
      <c r="K73" s="15"/>
      <c r="L73" s="23"/>
      <c r="N73" s="3"/>
      <c r="O73" s="46" t="s">
        <v>9</v>
      </c>
      <c r="P73" s="46" t="s">
        <v>17</v>
      </c>
      <c r="Q73" s="44" t="s">
        <v>19</v>
      </c>
      <c r="R73" s="53" t="s">
        <v>18</v>
      </c>
      <c r="S73" s="53" t="s">
        <v>10</v>
      </c>
      <c r="T73" s="53" t="s">
        <v>9</v>
      </c>
    </row>
    <row r="74" spans="2:20" ht="18" x14ac:dyDescent="0.45">
      <c r="B74" s="22"/>
      <c r="C74" s="15"/>
      <c r="D74" s="17"/>
      <c r="E74" s="28"/>
      <c r="F74" s="15"/>
      <c r="G74" s="15"/>
      <c r="H74" s="15"/>
      <c r="I74" s="15"/>
      <c r="J74" s="15"/>
      <c r="K74" s="15"/>
      <c r="L74" s="23"/>
      <c r="N74" s="47">
        <v>80</v>
      </c>
      <c r="O74" s="48">
        <v>3.8</v>
      </c>
      <c r="P74" s="48">
        <v>7.64</v>
      </c>
      <c r="Q74" s="45">
        <v>23.2</v>
      </c>
      <c r="R74" s="54">
        <v>80.099999999999994</v>
      </c>
      <c r="S74" s="54">
        <v>6</v>
      </c>
      <c r="T74" s="54">
        <v>5.2</v>
      </c>
    </row>
    <row r="75" spans="2:20" ht="18" x14ac:dyDescent="0.45">
      <c r="B75" s="22"/>
      <c r="C75" s="15"/>
      <c r="D75" s="17"/>
      <c r="E75" s="28"/>
      <c r="F75" s="15"/>
      <c r="G75" s="15"/>
      <c r="H75" s="15"/>
      <c r="I75" s="15"/>
      <c r="J75" s="15"/>
      <c r="K75" s="15"/>
      <c r="L75" s="23"/>
      <c r="N75" s="49">
        <v>100</v>
      </c>
      <c r="O75" s="46">
        <v>4.0999999999999996</v>
      </c>
      <c r="P75" s="46">
        <v>10.3</v>
      </c>
      <c r="Q75" s="44">
        <v>39.4</v>
      </c>
      <c r="R75" s="53">
        <v>171</v>
      </c>
      <c r="S75" s="53">
        <v>8.1</v>
      </c>
      <c r="T75" s="53">
        <v>5.7</v>
      </c>
    </row>
    <row r="76" spans="2:20" ht="18" x14ac:dyDescent="0.45">
      <c r="B76" s="22"/>
      <c r="C76" s="15"/>
      <c r="D76" s="17"/>
      <c r="E76" s="28"/>
      <c r="F76" s="15"/>
      <c r="G76" s="15"/>
      <c r="H76" s="15"/>
      <c r="I76" s="15"/>
      <c r="J76" s="15"/>
      <c r="K76" s="15"/>
      <c r="L76" s="23"/>
      <c r="N76" s="47">
        <v>120</v>
      </c>
      <c r="O76" s="48">
        <v>4.4000000000000004</v>
      </c>
      <c r="P76" s="48">
        <v>13.2</v>
      </c>
      <c r="Q76" s="45">
        <v>60.7</v>
      </c>
      <c r="R76" s="54">
        <v>318</v>
      </c>
      <c r="S76" s="54">
        <v>10.4</v>
      </c>
      <c r="T76" s="54">
        <v>6.3</v>
      </c>
    </row>
    <row r="77" spans="2:20" ht="18" x14ac:dyDescent="0.45">
      <c r="B77" s="22"/>
      <c r="C77" s="15"/>
      <c r="D77" s="17"/>
      <c r="E77" s="28"/>
      <c r="F77" s="15"/>
      <c r="G77" s="15"/>
      <c r="H77" s="15"/>
      <c r="I77" s="15"/>
      <c r="J77" s="15"/>
      <c r="K77" s="15"/>
      <c r="L77" s="23"/>
      <c r="N77" s="49">
        <v>140</v>
      </c>
      <c r="O77" s="46">
        <v>4.7</v>
      </c>
      <c r="P77" s="46">
        <v>16.399999999999999</v>
      </c>
      <c r="Q77" s="44">
        <v>88.3</v>
      </c>
      <c r="R77" s="53">
        <v>541</v>
      </c>
      <c r="S77" s="53">
        <v>12.9</v>
      </c>
      <c r="T77" s="53">
        <v>6.9</v>
      </c>
    </row>
    <row r="78" spans="2:20" ht="18" x14ac:dyDescent="0.45">
      <c r="B78" s="22"/>
      <c r="C78" s="15"/>
      <c r="D78" s="17"/>
      <c r="E78" s="28"/>
      <c r="F78" s="15"/>
      <c r="G78" s="15"/>
      <c r="H78" s="15"/>
      <c r="I78" s="15"/>
      <c r="J78" s="15"/>
      <c r="K78" s="15"/>
      <c r="L78" s="23"/>
      <c r="N78" s="47">
        <v>160</v>
      </c>
      <c r="O78" s="48">
        <v>5</v>
      </c>
      <c r="P78" s="48">
        <v>20.100000000000001</v>
      </c>
      <c r="Q78" s="45">
        <v>124</v>
      </c>
      <c r="R78" s="54">
        <v>869</v>
      </c>
      <c r="S78" s="54">
        <v>15.8</v>
      </c>
      <c r="T78" s="54">
        <v>7.4</v>
      </c>
    </row>
    <row r="79" spans="2:20" ht="18" x14ac:dyDescent="0.45">
      <c r="B79" s="22"/>
      <c r="C79" s="15"/>
      <c r="D79" s="17"/>
      <c r="E79" s="28"/>
      <c r="F79" s="15"/>
      <c r="G79" s="15"/>
      <c r="H79" s="15"/>
      <c r="I79" s="15"/>
      <c r="J79" s="15"/>
      <c r="K79" s="15"/>
      <c r="L79" s="23"/>
      <c r="N79" s="49">
        <v>180</v>
      </c>
      <c r="O79" s="46">
        <v>5.3</v>
      </c>
      <c r="P79" s="46">
        <v>23.9</v>
      </c>
      <c r="Q79" s="44">
        <v>166</v>
      </c>
      <c r="R79" s="53">
        <v>1320</v>
      </c>
      <c r="S79" s="53">
        <v>18.8</v>
      </c>
      <c r="T79" s="53">
        <v>8</v>
      </c>
    </row>
    <row r="80" spans="2:20" ht="18" x14ac:dyDescent="0.45">
      <c r="B80" s="22"/>
      <c r="C80" s="15" t="s">
        <v>225</v>
      </c>
      <c r="D80" s="15"/>
      <c r="E80" s="15"/>
      <c r="F80" s="15"/>
      <c r="G80" s="15"/>
      <c r="H80" s="15"/>
      <c r="I80" s="15"/>
      <c r="J80" s="15"/>
      <c r="K80" s="15"/>
      <c r="L80" s="23"/>
      <c r="N80" s="47">
        <v>200</v>
      </c>
      <c r="O80" s="48">
        <v>5.6</v>
      </c>
      <c r="P80" s="48">
        <v>28.5</v>
      </c>
      <c r="Q80" s="45">
        <v>221</v>
      </c>
      <c r="R80" s="54">
        <v>1940</v>
      </c>
      <c r="S80" s="54">
        <v>22.4</v>
      </c>
      <c r="T80" s="54">
        <v>8.5</v>
      </c>
    </row>
    <row r="81" spans="2:26" ht="18" x14ac:dyDescent="0.45">
      <c r="B81" s="22"/>
      <c r="C81" s="15"/>
      <c r="D81" s="50" t="s">
        <v>31</v>
      </c>
      <c r="E81" s="60">
        <f>E71/(E11*0.9*E73)*100</f>
        <v>475.37561728395065</v>
      </c>
      <c r="F81" s="51" t="s">
        <v>46</v>
      </c>
      <c r="G81" s="15"/>
      <c r="H81" s="15"/>
      <c r="I81" s="15"/>
      <c r="J81" s="15"/>
      <c r="K81" s="15"/>
      <c r="L81" s="23"/>
      <c r="N81" s="49">
        <v>220</v>
      </c>
      <c r="O81" s="46">
        <v>5.9</v>
      </c>
      <c r="P81" s="46">
        <v>33.4</v>
      </c>
      <c r="Q81" s="44">
        <v>285</v>
      </c>
      <c r="R81" s="53">
        <v>2770</v>
      </c>
      <c r="S81" s="53">
        <v>26.2</v>
      </c>
      <c r="T81" s="53">
        <v>9.1999999999999993</v>
      </c>
    </row>
    <row r="82" spans="2:26" ht="18" x14ac:dyDescent="0.45">
      <c r="B82" s="22"/>
      <c r="C82" s="15"/>
      <c r="D82" s="15"/>
      <c r="E82" s="26"/>
      <c r="F82" s="15"/>
      <c r="G82" s="15"/>
      <c r="H82" s="15"/>
      <c r="I82" s="15"/>
      <c r="J82" s="15"/>
      <c r="K82" s="15"/>
      <c r="L82" s="23"/>
      <c r="N82" s="47">
        <v>240</v>
      </c>
      <c r="O82" s="48">
        <v>6.2</v>
      </c>
      <c r="P82" s="48">
        <v>39.1</v>
      </c>
      <c r="Q82" s="45">
        <v>367</v>
      </c>
      <c r="R82" s="54">
        <v>3890</v>
      </c>
      <c r="S82" s="54">
        <v>30.7</v>
      </c>
      <c r="T82" s="54">
        <v>9.8000000000000007</v>
      </c>
    </row>
    <row r="83" spans="2:26" ht="19.5" x14ac:dyDescent="0.45">
      <c r="B83" s="22"/>
      <c r="C83" s="26"/>
      <c r="D83" s="61" t="s">
        <v>22</v>
      </c>
      <c r="E83" s="40" t="s">
        <v>2</v>
      </c>
      <c r="F83" s="40" t="s">
        <v>7</v>
      </c>
      <c r="G83" s="40" t="s">
        <v>31</v>
      </c>
      <c r="H83" s="40" t="s">
        <v>26</v>
      </c>
      <c r="I83" s="40" t="s">
        <v>8</v>
      </c>
      <c r="J83" s="40" t="s">
        <v>135</v>
      </c>
      <c r="K83" s="15"/>
      <c r="L83" s="23"/>
      <c r="N83" s="49">
        <v>270</v>
      </c>
      <c r="O83" s="46">
        <v>6.6</v>
      </c>
      <c r="P83" s="46">
        <v>45.9</v>
      </c>
      <c r="Q83" s="44">
        <v>484</v>
      </c>
      <c r="R83" s="53">
        <v>5790</v>
      </c>
      <c r="S83" s="53">
        <v>36.1</v>
      </c>
      <c r="T83" s="53">
        <v>10.199999999999999</v>
      </c>
    </row>
    <row r="84" spans="2:26" s="35" customFormat="1" ht="19.5" x14ac:dyDescent="0.45">
      <c r="B84" s="39"/>
      <c r="C84" s="26"/>
      <c r="D84" s="62"/>
      <c r="E84" s="40" t="s">
        <v>9</v>
      </c>
      <c r="F84" s="40" t="s">
        <v>17</v>
      </c>
      <c r="G84" s="40" t="s">
        <v>19</v>
      </c>
      <c r="H84" s="40" t="s">
        <v>18</v>
      </c>
      <c r="I84" s="40" t="s">
        <v>10</v>
      </c>
      <c r="J84" s="40" t="s">
        <v>9</v>
      </c>
      <c r="K84" s="15"/>
      <c r="L84" s="23"/>
      <c r="M84" s="12"/>
      <c r="N84" s="47">
        <v>300</v>
      </c>
      <c r="O84" s="48">
        <v>7.1</v>
      </c>
      <c r="P84" s="48">
        <v>53.8</v>
      </c>
      <c r="Q84" s="45">
        <v>628</v>
      </c>
      <c r="R84" s="54">
        <v>8360</v>
      </c>
      <c r="S84" s="54">
        <v>42.2</v>
      </c>
      <c r="T84" s="54">
        <v>10.7</v>
      </c>
      <c r="U84" s="12"/>
      <c r="V84" s="12"/>
      <c r="W84" s="12"/>
      <c r="X84" s="12"/>
      <c r="Y84" s="12"/>
      <c r="Z84" s="12"/>
    </row>
    <row r="85" spans="2:26" s="35" customFormat="1" ht="18" customHeight="1" x14ac:dyDescent="0.45">
      <c r="B85" s="39"/>
      <c r="C85" s="41" t="s">
        <v>87</v>
      </c>
      <c r="D85" s="42">
        <v>300</v>
      </c>
      <c r="E85" s="42">
        <f>VLOOKUP(D85,N74:O91,2,FALSE)</f>
        <v>7.1</v>
      </c>
      <c r="F85" s="42">
        <f>VLOOKUP(D85,N74:P91,3,FALSE)</f>
        <v>53.8</v>
      </c>
      <c r="G85" s="42">
        <f>VLOOKUP(D85,N74:Q91,4,FALSE)</f>
        <v>628</v>
      </c>
      <c r="H85" s="42">
        <f>VLOOKUP(D85,N74:R91,5,FALSE)</f>
        <v>8360</v>
      </c>
      <c r="I85" s="42">
        <f>VLOOKUP(D85,N74:S91,6,FALSE)</f>
        <v>42.2</v>
      </c>
      <c r="J85" s="42">
        <f>VLOOKUP(D85,N74:T91,7,FALSE)</f>
        <v>10.7</v>
      </c>
      <c r="K85" s="15"/>
      <c r="L85" s="23"/>
      <c r="M85" s="12"/>
      <c r="N85" s="49">
        <v>330</v>
      </c>
      <c r="O85" s="46">
        <v>7.5</v>
      </c>
      <c r="P85" s="46">
        <v>62.6</v>
      </c>
      <c r="Q85" s="44">
        <v>804</v>
      </c>
      <c r="R85" s="53">
        <v>11770</v>
      </c>
      <c r="S85" s="53">
        <v>49.1</v>
      </c>
      <c r="T85" s="53">
        <v>11.5</v>
      </c>
      <c r="U85" s="12"/>
      <c r="V85" s="12"/>
      <c r="W85" s="12"/>
      <c r="X85" s="12"/>
      <c r="Y85" s="12"/>
      <c r="Z85" s="12"/>
    </row>
    <row r="86" spans="2:26" s="35" customFormat="1" ht="18" customHeight="1" x14ac:dyDescent="0.45">
      <c r="B86" s="39"/>
      <c r="C86" s="15"/>
      <c r="E86" s="15"/>
      <c r="F86" s="15"/>
      <c r="G86" s="15"/>
      <c r="H86" s="15"/>
      <c r="I86" s="15"/>
      <c r="J86" s="15"/>
      <c r="K86" s="15"/>
      <c r="L86" s="23"/>
      <c r="M86" s="12"/>
      <c r="N86" s="47">
        <v>360</v>
      </c>
      <c r="O86" s="48">
        <v>8</v>
      </c>
      <c r="P86" s="48">
        <v>72.7</v>
      </c>
      <c r="Q86" s="45">
        <v>1019</v>
      </c>
      <c r="R86" s="54">
        <v>16270</v>
      </c>
      <c r="S86" s="54">
        <v>57.1</v>
      </c>
      <c r="T86" s="54">
        <v>12.7</v>
      </c>
      <c r="U86" s="12"/>
      <c r="V86" s="12"/>
      <c r="W86" s="12"/>
      <c r="X86" s="12"/>
      <c r="Y86" s="12"/>
      <c r="Z86" s="12"/>
    </row>
    <row r="87" spans="2:26" ht="18" x14ac:dyDescent="0.45">
      <c r="B87" s="22"/>
      <c r="C87" s="15"/>
      <c r="D87" s="63">
        <f>G85/E81</f>
        <v>1.3210606037980361</v>
      </c>
      <c r="E87" s="83"/>
      <c r="F87" s="79" t="s">
        <v>114</v>
      </c>
      <c r="G87" s="83"/>
      <c r="H87" s="79"/>
      <c r="I87" s="79"/>
      <c r="J87" s="84" t="str">
        <f>IF(G85&gt;E81,"مقطع انتخابی مناسب می باشد", "مقطع انتخابی ضعیف می باشد")</f>
        <v>مقطع انتخابی مناسب می باشد</v>
      </c>
      <c r="K87" s="15"/>
      <c r="L87" s="23"/>
      <c r="N87" s="49">
        <v>400</v>
      </c>
      <c r="O87" s="46">
        <v>8.6</v>
      </c>
      <c r="P87" s="46">
        <v>84.5</v>
      </c>
      <c r="Q87" s="44">
        <v>1307</v>
      </c>
      <c r="R87" s="53">
        <v>23130</v>
      </c>
      <c r="S87" s="53">
        <v>66.3</v>
      </c>
      <c r="T87" s="53">
        <v>13.5</v>
      </c>
    </row>
    <row r="88" spans="2:26" ht="18" customHeight="1" x14ac:dyDescent="0.45">
      <c r="B88" s="22"/>
      <c r="C88" s="118" t="s">
        <v>232</v>
      </c>
      <c r="D88" s="118"/>
      <c r="E88" s="118"/>
      <c r="F88" s="118"/>
      <c r="G88" s="118"/>
      <c r="H88" s="118"/>
      <c r="I88" s="118"/>
      <c r="J88" s="118"/>
      <c r="K88" s="119"/>
      <c r="L88" s="95" t="s">
        <v>230</v>
      </c>
      <c r="N88" s="47">
        <v>450</v>
      </c>
      <c r="O88" s="48">
        <v>9.4</v>
      </c>
      <c r="P88" s="48">
        <v>98.8</v>
      </c>
      <c r="Q88" s="45">
        <v>1702</v>
      </c>
      <c r="R88" s="54">
        <v>33740</v>
      </c>
      <c r="S88" s="54">
        <v>77.599999999999994</v>
      </c>
      <c r="T88" s="54">
        <v>14.6</v>
      </c>
    </row>
    <row r="89" spans="2:26" ht="18" customHeight="1" x14ac:dyDescent="0.45">
      <c r="B89" s="22"/>
      <c r="C89" s="126" t="s">
        <v>231</v>
      </c>
      <c r="D89" s="126"/>
      <c r="E89" s="126"/>
      <c r="F89" s="126"/>
      <c r="G89" s="126"/>
      <c r="H89" s="126"/>
      <c r="I89" s="126"/>
      <c r="J89" s="126"/>
      <c r="K89" s="127"/>
      <c r="L89" s="23"/>
      <c r="N89" s="49">
        <v>500</v>
      </c>
      <c r="O89" s="46">
        <v>10.199999999999999</v>
      </c>
      <c r="P89" s="46">
        <v>116</v>
      </c>
      <c r="Q89" s="44">
        <v>2194</v>
      </c>
      <c r="R89" s="53">
        <v>48200</v>
      </c>
      <c r="S89" s="53">
        <v>90.7</v>
      </c>
      <c r="T89" s="53">
        <v>16</v>
      </c>
    </row>
    <row r="90" spans="2:26" ht="20.25" thickBot="1" x14ac:dyDescent="0.55000000000000004">
      <c r="B90" s="22"/>
      <c r="C90" s="110" t="s">
        <v>74</v>
      </c>
      <c r="D90" s="110"/>
      <c r="E90" s="55"/>
      <c r="F90" s="56"/>
      <c r="G90" s="56"/>
      <c r="H90" s="56"/>
      <c r="I90" s="56"/>
      <c r="J90" s="56"/>
      <c r="K90" s="15"/>
      <c r="L90" s="23"/>
      <c r="N90" s="47">
        <v>550</v>
      </c>
      <c r="O90" s="48">
        <v>11.1</v>
      </c>
      <c r="P90" s="48">
        <v>134</v>
      </c>
      <c r="Q90" s="45">
        <v>2787</v>
      </c>
      <c r="R90" s="54">
        <v>67120</v>
      </c>
      <c r="S90" s="54">
        <v>106</v>
      </c>
      <c r="T90" s="54">
        <v>17.2</v>
      </c>
    </row>
    <row r="91" spans="2:26" ht="18" x14ac:dyDescent="0.45">
      <c r="B91" s="22"/>
      <c r="C91" s="15" t="s">
        <v>233</v>
      </c>
      <c r="D91" s="15" t="s">
        <v>120</v>
      </c>
      <c r="E91" s="26">
        <f>0.6*E11*E85*D85/100</f>
        <v>30672</v>
      </c>
      <c r="F91" s="15" t="s">
        <v>115</v>
      </c>
      <c r="G91" s="15" t="s">
        <v>41</v>
      </c>
      <c r="H91" s="63">
        <f>E70</f>
        <v>8801.2400000000016</v>
      </c>
      <c r="I91" s="15"/>
      <c r="J91" s="15"/>
      <c r="K91" s="15"/>
      <c r="L91" s="23"/>
      <c r="N91" s="49">
        <v>600</v>
      </c>
      <c r="O91" s="46">
        <v>12</v>
      </c>
      <c r="P91" s="46">
        <v>156</v>
      </c>
      <c r="Q91" s="44">
        <v>3512</v>
      </c>
      <c r="R91" s="53">
        <v>92080</v>
      </c>
      <c r="S91" s="53">
        <v>122</v>
      </c>
      <c r="T91" s="53">
        <v>19</v>
      </c>
    </row>
    <row r="92" spans="2:26" x14ac:dyDescent="0.45">
      <c r="B92" s="22"/>
      <c r="C92" s="15"/>
      <c r="D92" s="15"/>
      <c r="E92" s="26"/>
      <c r="F92" s="15"/>
      <c r="H92" s="15"/>
      <c r="I92" s="15"/>
      <c r="J92" s="15"/>
      <c r="K92" s="79" t="str">
        <f>IF(E91&gt;3400,"مقطع برای برش مناسب می باشد","مقطع برای برش مناسب نمی باشد، مقطع دیگری را انتخاب کنید")</f>
        <v>مقطع برای برش مناسب می باشد</v>
      </c>
      <c r="L92" s="23"/>
    </row>
    <row r="93" spans="2:26" x14ac:dyDescent="0.45">
      <c r="B93" s="22"/>
      <c r="C93" s="15"/>
      <c r="D93" s="15"/>
      <c r="E93" s="26"/>
      <c r="F93" s="15"/>
      <c r="G93" s="15"/>
      <c r="H93" s="79" t="str">
        <f>IF(E91&gt;3400,"PASS – Beam shear at construction stage loading","NOT PASS – Beam shear at construction stage loading")</f>
        <v>PASS – Beam shear at construction stage loading</v>
      </c>
      <c r="I93" s="15"/>
      <c r="K93" s="15"/>
      <c r="L93" s="23"/>
    </row>
    <row r="94" spans="2:26" x14ac:dyDescent="0.45">
      <c r="B94" s="22"/>
      <c r="C94" s="15"/>
      <c r="D94" s="15"/>
      <c r="E94" s="26"/>
      <c r="F94" s="15"/>
      <c r="G94" s="15"/>
      <c r="H94" s="15"/>
      <c r="I94" s="15"/>
      <c r="J94" s="15"/>
      <c r="K94" s="15"/>
      <c r="L94" s="23"/>
    </row>
    <row r="95" spans="2:26" ht="20.25" thickBot="1" x14ac:dyDescent="0.55000000000000004">
      <c r="B95" s="22"/>
      <c r="C95" s="110" t="s">
        <v>79</v>
      </c>
      <c r="D95" s="110"/>
      <c r="E95" s="55"/>
      <c r="F95" s="56"/>
      <c r="G95" s="56"/>
      <c r="H95" s="56"/>
      <c r="I95" s="56"/>
      <c r="J95" s="56"/>
      <c r="K95" s="15"/>
      <c r="L95" s="23"/>
    </row>
    <row r="96" spans="2:26" x14ac:dyDescent="0.45">
      <c r="B96" s="22"/>
      <c r="C96" s="58" t="s">
        <v>224</v>
      </c>
      <c r="D96" s="15"/>
      <c r="E96" s="26"/>
      <c r="F96" s="15"/>
      <c r="G96" s="15"/>
      <c r="H96" s="15"/>
      <c r="I96" s="15"/>
      <c r="J96" s="79"/>
      <c r="K96" s="79" t="s">
        <v>77</v>
      </c>
      <c r="L96" s="77"/>
    </row>
    <row r="97" spans="2:25" x14ac:dyDescent="0.45">
      <c r="B97" s="22"/>
      <c r="C97" s="15"/>
      <c r="D97" s="17" t="s">
        <v>121</v>
      </c>
      <c r="E97" s="30">
        <f>(1.4*E57)*E21^2/8</f>
        <v>7864.9900000000007</v>
      </c>
      <c r="F97" s="17" t="s">
        <v>43</v>
      </c>
      <c r="G97" s="15"/>
      <c r="H97" s="15"/>
      <c r="I97" s="15"/>
      <c r="J97" s="80"/>
      <c r="K97" s="79" t="s">
        <v>78</v>
      </c>
      <c r="L97" s="77"/>
    </row>
    <row r="98" spans="2:25" x14ac:dyDescent="0.45">
      <c r="B98" s="22"/>
      <c r="C98" s="15" t="s">
        <v>226</v>
      </c>
      <c r="D98" s="15"/>
      <c r="E98" s="26"/>
      <c r="F98" s="15"/>
      <c r="G98" s="15"/>
      <c r="H98" s="15"/>
      <c r="I98" s="15"/>
      <c r="J98" s="79"/>
      <c r="K98" s="85"/>
      <c r="L98" s="77"/>
    </row>
    <row r="99" spans="2:25" ht="18" customHeight="1" x14ac:dyDescent="0.45">
      <c r="B99" s="22"/>
      <c r="C99" s="15"/>
      <c r="D99" s="17" t="s">
        <v>122</v>
      </c>
      <c r="E99" s="30">
        <f>0.9*G85*E11/100</f>
        <v>13564.8</v>
      </c>
      <c r="F99" s="17" t="s">
        <v>43</v>
      </c>
      <c r="G99" s="116"/>
      <c r="H99" s="116"/>
      <c r="I99" s="116"/>
      <c r="J99" s="116"/>
      <c r="K99" s="116"/>
      <c r="L99" s="117"/>
    </row>
    <row r="100" spans="2:25" x14ac:dyDescent="0.45">
      <c r="B100" s="22"/>
      <c r="C100" s="15"/>
      <c r="D100" s="15" t="s">
        <v>123</v>
      </c>
      <c r="E100" s="64">
        <f>E99/E97</f>
        <v>1.724706579410781</v>
      </c>
      <c r="F100" s="15"/>
      <c r="G100" s="116"/>
      <c r="H100" s="116"/>
      <c r="I100" s="116"/>
      <c r="J100" s="116"/>
      <c r="K100" s="116"/>
      <c r="L100" s="117"/>
    </row>
    <row r="101" spans="2:25" ht="18" customHeight="1" x14ac:dyDescent="0.45">
      <c r="B101" s="22"/>
      <c r="C101" s="118" t="str">
        <f>IF(E97&lt;E99,"مقطع برای تحمل بارمرده ی گروه اول مناسب می باشد،چنانچه قصد به عدم استفاده از جک وجود دارد تمهیدات لازم جهت مهار جانبی تیرها لحاظ شود","مقطع برای تحمل بارمرده ی گروه اول مناسب نمی باشد، مقطع دیگری را انتخاب کنید")</f>
        <v>مقطع برای تحمل بارمرده ی گروه اول مناسب می باشد،چنانچه قصد به عدم استفاده از جک وجود دارد تمهیدات لازم جهت مهار جانبی تیرها لحاظ شود</v>
      </c>
      <c r="D101" s="118"/>
      <c r="E101" s="118"/>
      <c r="F101" s="118"/>
      <c r="G101" s="118"/>
      <c r="H101" s="118"/>
      <c r="I101" s="118"/>
      <c r="J101" s="118"/>
      <c r="K101" s="119"/>
      <c r="L101" s="94" t="s">
        <v>230</v>
      </c>
    </row>
    <row r="102" spans="2:25" ht="18" customHeight="1" x14ac:dyDescent="0.45">
      <c r="B102" s="22"/>
      <c r="C102" s="124" t="str">
        <f>IF(E100&lt;1,"Not PASS – Beam bending at construction stage loading","PASS – Beam bending at construction stage loading")</f>
        <v>PASS – Beam bending at construction stage loading</v>
      </c>
      <c r="D102" s="124"/>
      <c r="E102" s="124"/>
      <c r="F102" s="124"/>
      <c r="G102" s="124"/>
      <c r="H102" s="124"/>
      <c r="I102" s="124"/>
      <c r="J102" s="124"/>
      <c r="K102" s="125"/>
      <c r="L102" s="89"/>
    </row>
    <row r="103" spans="2:25" ht="18" customHeight="1" x14ac:dyDescent="0.45">
      <c r="B103" s="22"/>
      <c r="C103" s="15"/>
      <c r="D103" s="15"/>
      <c r="E103" s="12"/>
      <c r="F103" s="15"/>
      <c r="G103" s="15"/>
      <c r="H103" s="15"/>
      <c r="I103" s="15"/>
      <c r="J103" s="15"/>
      <c r="L103" s="77"/>
    </row>
    <row r="104" spans="2:25" ht="20.25" thickBot="1" x14ac:dyDescent="0.55000000000000004">
      <c r="B104" s="22"/>
      <c r="C104" s="110" t="s">
        <v>205</v>
      </c>
      <c r="D104" s="110"/>
      <c r="E104" s="55"/>
      <c r="F104" s="56"/>
      <c r="G104" s="56"/>
      <c r="H104" s="56"/>
      <c r="I104" s="56"/>
      <c r="J104" s="56"/>
      <c r="K104" s="15"/>
      <c r="L104" s="23"/>
      <c r="N104" s="47"/>
      <c r="O104" s="48"/>
      <c r="P104" s="48"/>
      <c r="Q104" s="45"/>
      <c r="R104" s="54"/>
      <c r="S104" s="54"/>
      <c r="T104" s="54"/>
    </row>
    <row r="105" spans="2:25" x14ac:dyDescent="0.45">
      <c r="B105" s="22"/>
      <c r="C105" s="15"/>
      <c r="E105" s="26"/>
      <c r="F105" s="15"/>
      <c r="G105" s="15"/>
      <c r="H105" s="15"/>
      <c r="I105" s="15"/>
      <c r="J105" s="79"/>
      <c r="K105" s="79" t="s">
        <v>83</v>
      </c>
      <c r="L105" s="77"/>
    </row>
    <row r="106" spans="2:25" x14ac:dyDescent="0.45">
      <c r="B106" s="22"/>
      <c r="C106" s="15" t="s">
        <v>117</v>
      </c>
      <c r="D106" s="14" t="s">
        <v>124</v>
      </c>
      <c r="E106" s="32">
        <f>0.85*0.812*E17*E29*E14</f>
        <v>621180</v>
      </c>
      <c r="F106" s="15"/>
      <c r="G106" s="15"/>
      <c r="H106" s="15"/>
      <c r="I106" s="15"/>
      <c r="J106" s="79"/>
      <c r="K106" s="79"/>
      <c r="L106" s="77"/>
      <c r="N106" s="15"/>
      <c r="O106" s="15"/>
      <c r="P106" s="15"/>
      <c r="Q106" s="15"/>
      <c r="S106" s="15"/>
      <c r="T106" s="15"/>
      <c r="Y106" s="12" t="s">
        <v>52</v>
      </c>
    </row>
    <row r="107" spans="2:25" x14ac:dyDescent="0.45">
      <c r="B107" s="22"/>
      <c r="C107" s="15" t="s">
        <v>116</v>
      </c>
      <c r="D107" s="14" t="s">
        <v>125</v>
      </c>
      <c r="E107" s="32">
        <f>F85*E11</f>
        <v>129120</v>
      </c>
      <c r="F107" s="15"/>
      <c r="H107" s="15"/>
      <c r="I107" s="15"/>
      <c r="J107" s="15"/>
      <c r="K107" s="85" t="str">
        <f>IF(E106&gt;E107,"تار خنثی در بتن است","تار خنثی در فولاد است . این برنامه برای طراحی مناسب نمی باشد!!!!  ")</f>
        <v>تار خنثی در بتن است</v>
      </c>
      <c r="L107" s="77"/>
      <c r="N107" s="15"/>
      <c r="O107" s="15"/>
      <c r="P107" s="15"/>
      <c r="Q107" s="15"/>
      <c r="R107" s="15"/>
      <c r="S107" s="15"/>
      <c r="T107" s="15"/>
    </row>
    <row r="108" spans="2:25" x14ac:dyDescent="0.45">
      <c r="B108" s="22"/>
      <c r="C108" s="15"/>
      <c r="D108" s="15"/>
      <c r="E108" s="26"/>
      <c r="F108" s="15"/>
      <c r="G108" s="15"/>
      <c r="H108" s="15"/>
      <c r="I108" s="15"/>
      <c r="J108" s="15"/>
      <c r="K108" s="15"/>
      <c r="L108" s="77"/>
      <c r="N108" s="15"/>
      <c r="O108" s="15"/>
      <c r="P108" s="15"/>
      <c r="Q108" s="15"/>
      <c r="R108" s="15"/>
      <c r="S108" s="15"/>
      <c r="T108" s="15"/>
    </row>
    <row r="109" spans="2:25" x14ac:dyDescent="0.45">
      <c r="B109" s="22"/>
      <c r="C109" s="15" t="s">
        <v>119</v>
      </c>
      <c r="D109" s="14" t="s">
        <v>126</v>
      </c>
      <c r="E109" s="33">
        <f>E107/(0.85*0.812*E17*E29)</f>
        <v>2.0786245532695835</v>
      </c>
      <c r="F109" s="15" t="s">
        <v>11</v>
      </c>
      <c r="G109" s="15"/>
      <c r="H109" s="15"/>
      <c r="I109" s="79" t="s">
        <v>118</v>
      </c>
      <c r="J109" s="15"/>
      <c r="L109" s="77"/>
      <c r="N109" s="15"/>
      <c r="O109" s="15"/>
      <c r="P109" s="15"/>
      <c r="Q109" s="15"/>
      <c r="R109" s="15"/>
      <c r="S109" s="15"/>
      <c r="T109" s="15"/>
    </row>
    <row r="110" spans="2:25" x14ac:dyDescent="0.45">
      <c r="B110" s="22"/>
      <c r="C110" s="15"/>
      <c r="D110" s="15"/>
      <c r="E110" s="26"/>
      <c r="F110" s="15"/>
      <c r="G110" s="15"/>
      <c r="H110" s="15"/>
      <c r="I110" s="15"/>
      <c r="J110" s="15"/>
      <c r="K110" s="79"/>
      <c r="L110" s="77"/>
      <c r="N110" s="15"/>
      <c r="O110" s="15"/>
      <c r="P110" s="15"/>
      <c r="Q110" s="15"/>
      <c r="R110" s="15"/>
      <c r="S110" s="15"/>
      <c r="T110" s="15"/>
    </row>
    <row r="111" spans="2:25" x14ac:dyDescent="0.45">
      <c r="B111" s="22"/>
      <c r="C111" s="15"/>
      <c r="D111" s="15"/>
      <c r="E111" s="26"/>
      <c r="F111" s="15"/>
      <c r="G111" s="15"/>
      <c r="H111" s="15"/>
      <c r="I111" s="15"/>
      <c r="J111" s="15"/>
      <c r="K111" s="79"/>
      <c r="L111" s="77"/>
      <c r="N111" s="15"/>
      <c r="O111" s="15"/>
      <c r="P111" s="15"/>
      <c r="Q111" s="15"/>
      <c r="R111" s="15"/>
      <c r="S111" s="15"/>
      <c r="T111" s="15"/>
    </row>
    <row r="112" spans="2:25" x14ac:dyDescent="0.45">
      <c r="B112" s="22"/>
      <c r="C112" s="15"/>
      <c r="D112" s="14" t="s">
        <v>127</v>
      </c>
      <c r="E112" s="34">
        <f>E107*(D85/20+E14-E109+E109/2)</f>
        <v>3093803.9988409155</v>
      </c>
      <c r="F112" s="17" t="s">
        <v>48</v>
      </c>
      <c r="G112" s="15"/>
      <c r="H112" s="15"/>
      <c r="I112" s="15"/>
      <c r="J112" s="15"/>
      <c r="K112" s="79"/>
      <c r="L112" s="77"/>
      <c r="N112" s="15"/>
      <c r="O112" s="15"/>
      <c r="P112" s="15"/>
      <c r="Q112" s="15"/>
      <c r="R112" s="15"/>
      <c r="S112" s="15"/>
      <c r="T112" s="15"/>
    </row>
    <row r="113" spans="2:20" x14ac:dyDescent="0.45">
      <c r="B113" s="22"/>
      <c r="C113" s="15"/>
      <c r="D113" s="15"/>
      <c r="E113" s="26"/>
      <c r="F113" s="15"/>
      <c r="G113" s="15"/>
      <c r="H113" s="15"/>
      <c r="I113" s="15"/>
      <c r="J113" s="15"/>
      <c r="K113" s="79"/>
      <c r="L113" s="77"/>
      <c r="N113" s="15"/>
      <c r="O113" s="15"/>
      <c r="P113" s="15"/>
      <c r="Q113" s="15"/>
      <c r="R113" s="15"/>
      <c r="S113" s="15"/>
      <c r="T113" s="15"/>
    </row>
    <row r="114" spans="2:20" x14ac:dyDescent="0.45">
      <c r="B114" s="22"/>
      <c r="C114" s="15"/>
      <c r="D114" s="15"/>
      <c r="E114" s="26"/>
      <c r="F114" s="15"/>
      <c r="G114" s="15"/>
      <c r="H114" s="15"/>
      <c r="I114" s="15"/>
      <c r="J114" s="15"/>
      <c r="K114" s="79"/>
      <c r="L114" s="77"/>
      <c r="N114" s="15"/>
      <c r="O114" s="15"/>
      <c r="P114" s="15"/>
      <c r="Q114" s="15"/>
      <c r="R114" s="15"/>
      <c r="S114" s="15"/>
      <c r="T114" s="15"/>
    </row>
    <row r="115" spans="2:20" x14ac:dyDescent="0.45">
      <c r="B115" s="22"/>
      <c r="C115" s="15"/>
      <c r="D115" s="12" t="s">
        <v>129</v>
      </c>
      <c r="E115" s="33">
        <f>0.9*E112/100</f>
        <v>27844.235989568238</v>
      </c>
      <c r="F115" s="17" t="s">
        <v>43</v>
      </c>
      <c r="G115" s="15"/>
      <c r="H115" s="86" t="s">
        <v>128</v>
      </c>
      <c r="I115" s="15"/>
      <c r="J115" s="15"/>
      <c r="K115" s="15"/>
      <c r="L115" s="77"/>
      <c r="N115" s="15"/>
      <c r="O115" s="15"/>
      <c r="P115" s="15"/>
      <c r="Q115" s="15"/>
      <c r="R115" s="15"/>
      <c r="S115" s="15"/>
      <c r="T115" s="15"/>
    </row>
    <row r="116" spans="2:20" x14ac:dyDescent="0.45">
      <c r="B116" s="22"/>
      <c r="C116" s="15"/>
      <c r="D116" s="12" t="s">
        <v>42</v>
      </c>
      <c r="E116" s="33">
        <f>E71</f>
        <v>15402.170000000002</v>
      </c>
      <c r="F116" s="17" t="s">
        <v>43</v>
      </c>
      <c r="G116" s="15"/>
      <c r="H116" s="86" t="s">
        <v>100</v>
      </c>
      <c r="I116" s="15"/>
      <c r="J116" s="15"/>
      <c r="K116" s="15"/>
      <c r="L116" s="77"/>
      <c r="N116" s="15"/>
      <c r="O116" s="15"/>
      <c r="P116" s="15"/>
      <c r="Q116" s="15"/>
      <c r="R116" s="15"/>
      <c r="S116" s="15"/>
      <c r="T116" s="15"/>
    </row>
    <row r="117" spans="2:20" x14ac:dyDescent="0.45">
      <c r="B117" s="22"/>
      <c r="C117" s="15"/>
      <c r="D117" s="15"/>
      <c r="E117" s="26"/>
      <c r="F117" s="15"/>
      <c r="G117" s="15"/>
      <c r="H117" s="15"/>
      <c r="I117" s="15"/>
      <c r="J117" s="15"/>
      <c r="K117" s="79"/>
      <c r="L117" s="77"/>
      <c r="N117" s="15"/>
      <c r="O117" s="15"/>
      <c r="P117" s="15"/>
      <c r="Q117" s="15"/>
      <c r="R117" s="15"/>
      <c r="S117" s="15"/>
      <c r="T117" s="15"/>
    </row>
    <row r="118" spans="2:20" x14ac:dyDescent="0.45">
      <c r="B118" s="22"/>
      <c r="C118" s="15"/>
      <c r="D118" s="12" t="s">
        <v>130</v>
      </c>
      <c r="E118" s="65">
        <f>E115/E116</f>
        <v>1.8078125348290686</v>
      </c>
      <c r="G118" s="86" t="s">
        <v>49</v>
      </c>
      <c r="H118" s="15"/>
      <c r="I118" s="15"/>
      <c r="J118" s="15"/>
      <c r="K118" s="15"/>
      <c r="L118" s="77"/>
      <c r="N118" s="15"/>
      <c r="O118" s="15"/>
      <c r="P118" s="15"/>
      <c r="Q118" s="15"/>
      <c r="R118" s="15"/>
      <c r="S118" s="15"/>
      <c r="T118" s="15"/>
    </row>
    <row r="119" spans="2:20" x14ac:dyDescent="0.45">
      <c r="B119" s="22"/>
      <c r="C119" s="15"/>
      <c r="D119" s="15"/>
      <c r="E119" s="26"/>
      <c r="F119" s="15"/>
      <c r="G119" s="15"/>
      <c r="H119" s="15"/>
      <c r="I119" s="15"/>
      <c r="J119" s="79"/>
      <c r="K119" s="79"/>
      <c r="L119" s="77"/>
      <c r="N119" s="15"/>
      <c r="O119" s="15"/>
      <c r="P119" s="15"/>
      <c r="Q119" s="15"/>
      <c r="R119" s="15"/>
      <c r="S119" s="15"/>
      <c r="T119" s="15"/>
    </row>
    <row r="120" spans="2:20" x14ac:dyDescent="0.45">
      <c r="B120" s="22"/>
      <c r="C120" s="15"/>
      <c r="D120" s="15"/>
      <c r="E120" s="26"/>
      <c r="F120" s="15"/>
      <c r="G120" s="15"/>
      <c r="H120" s="15"/>
      <c r="I120" s="15"/>
      <c r="J120" s="79"/>
      <c r="K120" s="79"/>
      <c r="L120" s="77"/>
      <c r="N120" s="15"/>
      <c r="O120" s="15"/>
      <c r="P120" s="15"/>
      <c r="Q120" s="15"/>
      <c r="R120" s="15"/>
      <c r="S120" s="15"/>
      <c r="T120" s="15"/>
    </row>
    <row r="121" spans="2:20" x14ac:dyDescent="0.45">
      <c r="B121" s="22"/>
      <c r="C121" s="15"/>
      <c r="D121" s="15"/>
      <c r="E121" s="26"/>
      <c r="F121" s="15"/>
      <c r="G121" s="15"/>
      <c r="H121" s="15"/>
      <c r="I121" s="15"/>
      <c r="J121" s="79"/>
      <c r="K121" s="79"/>
      <c r="L121" s="77"/>
      <c r="N121" s="15"/>
      <c r="O121" s="15"/>
      <c r="P121" s="15"/>
      <c r="Q121" s="15"/>
      <c r="R121" s="15"/>
      <c r="S121" s="15"/>
      <c r="T121" s="15"/>
    </row>
    <row r="122" spans="2:20" x14ac:dyDescent="0.45">
      <c r="B122" s="22"/>
      <c r="C122" s="15"/>
      <c r="D122" s="15"/>
      <c r="E122" s="26"/>
      <c r="F122" s="15"/>
      <c r="G122" s="15"/>
      <c r="H122" s="15"/>
      <c r="I122" s="15"/>
      <c r="J122" s="79"/>
      <c r="K122" s="79"/>
      <c r="L122" s="77"/>
      <c r="N122" s="15"/>
      <c r="O122" s="15"/>
      <c r="P122" s="15"/>
      <c r="Q122" s="15"/>
      <c r="R122" s="15"/>
      <c r="S122" s="15"/>
      <c r="T122" s="15"/>
    </row>
    <row r="123" spans="2:20" x14ac:dyDescent="0.45">
      <c r="B123" s="22"/>
      <c r="C123" s="15"/>
      <c r="D123" s="15"/>
      <c r="E123" s="26"/>
      <c r="F123" s="15"/>
      <c r="G123" s="15"/>
      <c r="H123" s="15"/>
      <c r="I123" s="15"/>
      <c r="J123" s="79"/>
      <c r="K123" s="79"/>
      <c r="L123" s="77"/>
    </row>
    <row r="124" spans="2:20" x14ac:dyDescent="0.45">
      <c r="B124" s="22"/>
      <c r="C124" s="15"/>
      <c r="D124" s="15"/>
      <c r="E124" s="26"/>
      <c r="F124" s="15"/>
      <c r="G124" s="15"/>
      <c r="H124" s="15"/>
      <c r="I124" s="15"/>
      <c r="J124" s="79"/>
      <c r="K124" s="79"/>
      <c r="L124" s="77"/>
    </row>
    <row r="125" spans="2:20" x14ac:dyDescent="0.45">
      <c r="B125" s="22"/>
      <c r="C125" s="15"/>
      <c r="D125" s="15"/>
      <c r="E125" s="26"/>
      <c r="F125" s="15"/>
      <c r="G125" s="15"/>
      <c r="H125" s="15"/>
      <c r="I125" s="15"/>
      <c r="J125" s="79"/>
      <c r="K125" s="79"/>
      <c r="L125" s="77"/>
    </row>
    <row r="126" spans="2:20" x14ac:dyDescent="0.45">
      <c r="B126" s="22"/>
      <c r="C126" s="15"/>
      <c r="D126" s="15"/>
      <c r="E126" s="26"/>
      <c r="F126" s="15"/>
      <c r="G126" s="15"/>
      <c r="H126" s="15"/>
      <c r="I126" s="15"/>
      <c r="J126" s="79"/>
      <c r="K126" s="79"/>
      <c r="L126" s="77"/>
    </row>
    <row r="127" spans="2:20" x14ac:dyDescent="0.45">
      <c r="B127" s="22"/>
      <c r="C127" s="15"/>
      <c r="D127" s="15"/>
      <c r="E127" s="26"/>
      <c r="F127" s="15"/>
      <c r="G127" s="15"/>
      <c r="H127" s="15"/>
      <c r="I127" s="15"/>
      <c r="J127" s="79"/>
      <c r="K127" s="79"/>
      <c r="L127" s="77"/>
    </row>
    <row r="128" spans="2:20" x14ac:dyDescent="0.45">
      <c r="B128" s="22"/>
      <c r="C128" s="15"/>
      <c r="D128" s="15"/>
      <c r="E128" s="26"/>
      <c r="F128" s="15"/>
      <c r="G128" s="15"/>
      <c r="H128" s="15"/>
      <c r="I128" s="15"/>
      <c r="J128" s="79"/>
      <c r="K128" s="79"/>
      <c r="L128" s="77"/>
    </row>
    <row r="129" spans="2:12" x14ac:dyDescent="0.45">
      <c r="B129" s="22"/>
      <c r="C129" s="15"/>
      <c r="D129" s="15"/>
      <c r="E129" s="26"/>
      <c r="F129" s="15"/>
      <c r="G129" s="15"/>
      <c r="H129" s="15"/>
      <c r="I129" s="15"/>
      <c r="J129" s="79"/>
      <c r="K129" s="79"/>
      <c r="L129" s="77"/>
    </row>
    <row r="130" spans="2:12" x14ac:dyDescent="0.45">
      <c r="B130" s="22"/>
      <c r="C130" s="15"/>
      <c r="D130" s="15"/>
      <c r="E130" s="26"/>
      <c r="F130" s="15"/>
      <c r="G130" s="15"/>
      <c r="H130" s="15"/>
      <c r="I130" s="15"/>
      <c r="J130" s="79"/>
      <c r="K130" s="79"/>
      <c r="L130" s="77"/>
    </row>
    <row r="131" spans="2:12" x14ac:dyDescent="0.45">
      <c r="B131" s="22"/>
      <c r="C131" s="15" t="s">
        <v>51</v>
      </c>
      <c r="D131" s="15"/>
      <c r="E131" s="26"/>
      <c r="F131" s="15"/>
      <c r="G131" s="15" t="s">
        <v>50</v>
      </c>
      <c r="H131" s="15"/>
      <c r="I131" s="15"/>
      <c r="J131" s="15"/>
      <c r="K131" s="15"/>
      <c r="L131" s="23"/>
    </row>
    <row r="132" spans="2:12" x14ac:dyDescent="0.45">
      <c r="B132" s="22"/>
      <c r="C132" s="15"/>
      <c r="D132" s="15"/>
      <c r="E132" s="26"/>
      <c r="F132" s="15"/>
      <c r="G132" s="15"/>
      <c r="H132" s="15"/>
      <c r="I132" s="15"/>
      <c r="J132" s="15"/>
      <c r="K132" s="15"/>
      <c r="L132" s="23"/>
    </row>
    <row r="133" spans="2:12" x14ac:dyDescent="0.45">
      <c r="B133" s="22"/>
      <c r="C133" s="15"/>
      <c r="D133" s="15"/>
      <c r="E133" s="26"/>
      <c r="F133" s="15"/>
      <c r="G133" s="15"/>
      <c r="H133" s="15"/>
      <c r="I133" s="15"/>
      <c r="J133" s="15"/>
      <c r="K133" s="15"/>
      <c r="L133" s="23"/>
    </row>
    <row r="134" spans="2:12" ht="20.25" hidden="1" thickBot="1" x14ac:dyDescent="0.55000000000000004">
      <c r="B134" s="22"/>
      <c r="C134" s="110" t="s">
        <v>82</v>
      </c>
      <c r="D134" s="110"/>
      <c r="E134" s="55"/>
      <c r="F134" s="56"/>
      <c r="G134" s="56"/>
      <c r="H134" s="56"/>
      <c r="I134" s="56"/>
      <c r="J134" s="56"/>
      <c r="K134" s="15"/>
      <c r="L134" s="23"/>
    </row>
    <row r="135" spans="2:12" hidden="1" x14ac:dyDescent="0.45">
      <c r="B135" s="22"/>
      <c r="C135" s="15"/>
      <c r="D135" s="15" t="s">
        <v>60</v>
      </c>
      <c r="E135" s="26">
        <v>3700</v>
      </c>
      <c r="F135" s="15"/>
      <c r="G135" s="15"/>
      <c r="H135" s="15"/>
      <c r="I135" s="15"/>
      <c r="J135" s="15"/>
      <c r="K135" s="15"/>
      <c r="L135" s="23"/>
    </row>
    <row r="136" spans="2:12" hidden="1" x14ac:dyDescent="0.45">
      <c r="B136" s="22"/>
      <c r="C136" s="15"/>
      <c r="D136" s="15" t="s">
        <v>53</v>
      </c>
      <c r="E136" s="28">
        <v>20</v>
      </c>
      <c r="F136" s="15" t="s">
        <v>9</v>
      </c>
      <c r="G136" s="15"/>
      <c r="H136" s="15"/>
      <c r="I136" s="15"/>
      <c r="J136" s="15"/>
      <c r="K136" s="15"/>
      <c r="L136" s="23"/>
    </row>
    <row r="137" spans="2:12" hidden="1" x14ac:dyDescent="0.45">
      <c r="B137" s="22"/>
      <c r="C137" s="15"/>
      <c r="D137" s="15" t="s">
        <v>54</v>
      </c>
      <c r="E137" s="28">
        <v>65</v>
      </c>
      <c r="F137" s="15" t="s">
        <v>9</v>
      </c>
      <c r="G137" s="15"/>
      <c r="H137" s="15"/>
      <c r="I137" s="15"/>
      <c r="J137" s="15"/>
      <c r="K137" s="15"/>
      <c r="L137" s="23"/>
    </row>
    <row r="138" spans="2:12" hidden="1" x14ac:dyDescent="0.45">
      <c r="B138" s="22"/>
      <c r="C138" s="15"/>
      <c r="D138" s="15"/>
      <c r="E138" s="26"/>
      <c r="F138" s="15"/>
      <c r="G138" s="15"/>
      <c r="H138" s="15"/>
      <c r="I138" s="15"/>
      <c r="J138" s="15"/>
      <c r="K138" s="15"/>
      <c r="L138" s="23"/>
    </row>
    <row r="139" spans="2:12" hidden="1" x14ac:dyDescent="0.45">
      <c r="B139" s="22"/>
      <c r="C139" s="15"/>
      <c r="D139" s="15" t="s">
        <v>56</v>
      </c>
      <c r="E139" s="26"/>
      <c r="F139" s="15"/>
      <c r="G139" s="15"/>
      <c r="H139" s="15"/>
      <c r="I139" s="15"/>
      <c r="J139" s="15"/>
      <c r="K139" s="15"/>
      <c r="L139" s="23"/>
    </row>
    <row r="140" spans="2:12" hidden="1" x14ac:dyDescent="0.45">
      <c r="B140" s="22"/>
      <c r="C140" s="15"/>
      <c r="D140" s="15" t="s">
        <v>55</v>
      </c>
      <c r="E140" s="26">
        <f>4*E136/10</f>
        <v>8</v>
      </c>
      <c r="F140" s="15"/>
      <c r="G140" s="15" t="str">
        <f>IF(E137/10&gt;E140,"OK","NO")</f>
        <v>NO</v>
      </c>
      <c r="H140" s="15"/>
      <c r="I140" s="15"/>
      <c r="J140" s="15"/>
      <c r="K140" s="15"/>
      <c r="L140" s="23"/>
    </row>
    <row r="141" spans="2:12" hidden="1" x14ac:dyDescent="0.45">
      <c r="B141" s="22"/>
      <c r="C141" s="15"/>
      <c r="D141" s="15" t="s">
        <v>57</v>
      </c>
      <c r="E141" s="26"/>
      <c r="F141" s="15"/>
      <c r="G141" s="15"/>
      <c r="H141" s="15"/>
      <c r="I141" s="15"/>
      <c r="J141" s="15"/>
      <c r="K141" s="15"/>
      <c r="L141" s="23"/>
    </row>
    <row r="142" spans="2:12" hidden="1" x14ac:dyDescent="0.45">
      <c r="B142" s="22"/>
      <c r="C142" s="15"/>
      <c r="D142" s="15"/>
      <c r="E142" s="26"/>
      <c r="F142" s="15"/>
      <c r="G142" s="15"/>
      <c r="H142" s="15"/>
      <c r="I142" s="15"/>
      <c r="J142" s="15"/>
      <c r="K142" s="15"/>
      <c r="L142" s="23"/>
    </row>
    <row r="143" spans="2:12" hidden="1" x14ac:dyDescent="0.45">
      <c r="B143" s="22"/>
      <c r="C143" s="15"/>
      <c r="D143" s="15" t="s">
        <v>59</v>
      </c>
      <c r="E143" s="26">
        <f>3.14*E136^2/400</f>
        <v>3.14</v>
      </c>
      <c r="F143" s="15" t="s">
        <v>17</v>
      </c>
      <c r="G143" s="15"/>
      <c r="H143" s="15"/>
      <c r="I143" s="15"/>
      <c r="J143" s="15"/>
      <c r="K143" s="15"/>
      <c r="L143" s="23"/>
    </row>
    <row r="144" spans="2:12" hidden="1" x14ac:dyDescent="0.45">
      <c r="B144" s="22"/>
      <c r="C144" s="15"/>
      <c r="D144" s="15"/>
      <c r="E144" s="26"/>
      <c r="F144" s="15"/>
      <c r="G144" s="15"/>
      <c r="H144" s="15"/>
      <c r="I144" s="15"/>
      <c r="J144" s="15"/>
      <c r="K144" s="15"/>
      <c r="L144" s="23"/>
    </row>
    <row r="145" spans="2:12" hidden="1" x14ac:dyDescent="0.45">
      <c r="B145" s="22"/>
      <c r="C145" s="15"/>
      <c r="D145" s="15" t="s">
        <v>61</v>
      </c>
      <c r="E145" s="26">
        <v>1</v>
      </c>
      <c r="F145" s="15"/>
      <c r="G145" s="15"/>
      <c r="H145" s="15"/>
      <c r="I145" s="15"/>
      <c r="J145" s="15"/>
      <c r="K145" s="15"/>
      <c r="L145" s="23"/>
    </row>
    <row r="146" spans="2:12" hidden="1" x14ac:dyDescent="0.45">
      <c r="B146" s="22"/>
      <c r="C146" s="15"/>
      <c r="D146" s="15" t="s">
        <v>62</v>
      </c>
      <c r="E146" s="26">
        <v>0.75</v>
      </c>
      <c r="F146" s="15"/>
      <c r="G146" s="15"/>
      <c r="H146" s="15"/>
      <c r="I146" s="15"/>
      <c r="J146" s="15"/>
      <c r="K146" s="15"/>
      <c r="L146" s="23"/>
    </row>
    <row r="147" spans="2:12" hidden="1" x14ac:dyDescent="0.45">
      <c r="B147" s="22"/>
      <c r="C147" s="15"/>
      <c r="D147" s="15"/>
      <c r="E147" s="26"/>
      <c r="F147" s="15"/>
      <c r="G147" s="15"/>
      <c r="H147" s="15"/>
      <c r="I147" s="15"/>
      <c r="J147" s="15"/>
      <c r="K147" s="15"/>
      <c r="L147" s="23"/>
    </row>
    <row r="148" spans="2:12" hidden="1" x14ac:dyDescent="0.45">
      <c r="B148" s="22"/>
      <c r="C148" s="15"/>
      <c r="D148" s="15" t="s">
        <v>47</v>
      </c>
      <c r="E148" s="26">
        <f>MIN(E85*D85*E11/100,E106)</f>
        <v>51120</v>
      </c>
      <c r="F148" s="15"/>
      <c r="G148" s="15"/>
      <c r="H148" s="15"/>
      <c r="I148" s="15"/>
      <c r="J148" s="15"/>
      <c r="K148" s="15"/>
      <c r="L148" s="23"/>
    </row>
    <row r="149" spans="2:12" hidden="1" x14ac:dyDescent="0.45">
      <c r="B149" s="22"/>
      <c r="C149" s="15"/>
      <c r="D149" s="15" t="s">
        <v>58</v>
      </c>
      <c r="E149" s="57">
        <f>0.5*E143*SQRT(E17*E18)</f>
        <v>14466.744281354024</v>
      </c>
      <c r="F149" s="24" t="s">
        <v>64</v>
      </c>
      <c r="G149" s="15">
        <f>0.75*E143*E135</f>
        <v>8713.5</v>
      </c>
      <c r="H149" s="15"/>
      <c r="I149" s="15"/>
      <c r="J149" s="15"/>
      <c r="K149" s="15"/>
      <c r="L149" s="23"/>
    </row>
    <row r="150" spans="2:12" hidden="1" x14ac:dyDescent="0.45">
      <c r="B150" s="22"/>
      <c r="C150" s="15"/>
      <c r="D150" s="15"/>
      <c r="E150" s="57"/>
      <c r="F150" s="15"/>
      <c r="G150" s="15"/>
      <c r="H150" s="15"/>
      <c r="I150" s="15"/>
      <c r="J150" s="15"/>
      <c r="K150" s="15"/>
      <c r="L150" s="23"/>
    </row>
    <row r="151" spans="2:12" hidden="1" x14ac:dyDescent="0.45">
      <c r="B151" s="22"/>
      <c r="C151" s="15"/>
      <c r="D151" s="15" t="s">
        <v>65</v>
      </c>
      <c r="E151" s="57">
        <f>E148/MIN(E149,G149)</f>
        <v>5.8667584782234465</v>
      </c>
      <c r="F151" s="15"/>
      <c r="G151" s="15"/>
      <c r="H151" s="15"/>
      <c r="I151" s="15"/>
      <c r="J151" s="15"/>
      <c r="K151" s="15"/>
      <c r="L151" s="23"/>
    </row>
    <row r="152" spans="2:12" hidden="1" x14ac:dyDescent="0.45">
      <c r="B152" s="22"/>
      <c r="C152" s="15"/>
      <c r="D152" s="15"/>
      <c r="E152" s="26"/>
      <c r="F152" s="15"/>
      <c r="G152" s="15"/>
      <c r="H152" s="15"/>
      <c r="I152" s="15"/>
      <c r="J152" s="15"/>
      <c r="K152" s="15"/>
      <c r="L152" s="23"/>
    </row>
    <row r="153" spans="2:12" hidden="1" x14ac:dyDescent="0.45">
      <c r="B153" s="22"/>
      <c r="C153" s="15"/>
      <c r="D153" s="15"/>
      <c r="E153" s="26"/>
      <c r="F153" s="15"/>
      <c r="G153" s="15"/>
      <c r="H153" s="15"/>
      <c r="I153" s="15"/>
      <c r="J153" s="15"/>
      <c r="K153" s="15"/>
      <c r="L153" s="23"/>
    </row>
    <row r="154" spans="2:12" hidden="1" x14ac:dyDescent="0.45">
      <c r="B154" s="22"/>
      <c r="C154" s="15"/>
      <c r="D154" s="15"/>
      <c r="E154" s="26"/>
      <c r="F154" s="15"/>
      <c r="G154" s="15"/>
      <c r="H154" s="15"/>
      <c r="I154" s="15"/>
      <c r="J154" s="15"/>
      <c r="K154" s="15"/>
      <c r="L154" s="23"/>
    </row>
    <row r="155" spans="2:12" hidden="1" x14ac:dyDescent="0.45">
      <c r="B155" s="22"/>
      <c r="C155" s="15"/>
      <c r="D155" s="15"/>
      <c r="E155" s="26"/>
      <c r="F155" s="15"/>
      <c r="G155" s="15"/>
      <c r="H155" s="15"/>
      <c r="I155" s="15"/>
      <c r="J155" s="15"/>
      <c r="K155" s="15"/>
      <c r="L155" s="23"/>
    </row>
    <row r="156" spans="2:12" hidden="1" x14ac:dyDescent="0.45">
      <c r="B156" s="22"/>
      <c r="C156" s="15"/>
      <c r="D156" s="15"/>
      <c r="E156" s="26"/>
      <c r="F156" s="15"/>
      <c r="G156" s="15"/>
      <c r="H156" s="15"/>
      <c r="I156" s="15"/>
      <c r="J156" s="15"/>
      <c r="K156" s="15"/>
      <c r="L156" s="23"/>
    </row>
    <row r="157" spans="2:12" hidden="1" x14ac:dyDescent="0.45">
      <c r="B157" s="22"/>
      <c r="C157" s="15"/>
      <c r="D157" s="15"/>
      <c r="E157" s="26"/>
      <c r="F157" s="15"/>
      <c r="G157" s="15"/>
      <c r="H157" s="15"/>
      <c r="I157" s="15"/>
      <c r="J157" s="15"/>
      <c r="K157" s="15"/>
      <c r="L157" s="23"/>
    </row>
    <row r="158" spans="2:12" hidden="1" x14ac:dyDescent="0.45">
      <c r="B158" s="22"/>
      <c r="C158" s="15"/>
      <c r="D158" s="15"/>
      <c r="E158" s="26"/>
      <c r="F158" s="15"/>
      <c r="G158" s="15"/>
      <c r="H158" s="15"/>
      <c r="I158" s="15"/>
      <c r="J158" s="15"/>
      <c r="K158" s="15"/>
      <c r="L158" s="23"/>
    </row>
    <row r="159" spans="2:12" hidden="1" x14ac:dyDescent="0.45">
      <c r="B159" s="22"/>
      <c r="C159" s="15"/>
      <c r="D159" s="15" t="s">
        <v>70</v>
      </c>
      <c r="E159" s="26"/>
      <c r="F159" s="15"/>
      <c r="G159" s="15"/>
      <c r="H159" s="15"/>
      <c r="I159" s="15"/>
      <c r="J159" s="15"/>
      <c r="K159" s="15"/>
      <c r="L159" s="23"/>
    </row>
    <row r="160" spans="2:12" ht="20.25" thickBot="1" x14ac:dyDescent="0.55000000000000004">
      <c r="B160" s="22"/>
      <c r="C160" s="110" t="s">
        <v>142</v>
      </c>
      <c r="D160" s="110"/>
      <c r="E160" s="55"/>
      <c r="F160" s="56"/>
      <c r="G160" s="56"/>
      <c r="H160" s="56"/>
      <c r="I160" s="56"/>
      <c r="J160" s="56"/>
      <c r="K160" s="15"/>
      <c r="L160" s="23"/>
    </row>
    <row r="161" spans="2:12" ht="19.5" x14ac:dyDescent="0.5">
      <c r="B161" s="22"/>
      <c r="C161" s="72"/>
      <c r="D161" s="72"/>
      <c r="E161" s="26"/>
      <c r="F161" s="15"/>
      <c r="G161" s="15"/>
      <c r="H161" s="15"/>
      <c r="I161" s="15"/>
      <c r="J161" s="15"/>
      <c r="K161" s="15"/>
      <c r="L161" s="23"/>
    </row>
    <row r="162" spans="2:12" ht="19.5" x14ac:dyDescent="0.5">
      <c r="B162" s="22"/>
      <c r="C162" s="72"/>
      <c r="D162" s="72"/>
      <c r="E162" s="26"/>
      <c r="F162" s="15"/>
      <c r="G162" s="15"/>
      <c r="H162" s="15"/>
      <c r="I162" s="15"/>
      <c r="J162" s="15"/>
      <c r="K162" s="15"/>
      <c r="L162" s="23"/>
    </row>
    <row r="163" spans="2:12" x14ac:dyDescent="0.45">
      <c r="B163" s="22"/>
      <c r="C163" s="15" t="s">
        <v>188</v>
      </c>
      <c r="E163" s="73" t="s">
        <v>189</v>
      </c>
      <c r="F163" s="15"/>
      <c r="G163" s="15"/>
      <c r="H163" s="15"/>
      <c r="I163" s="15"/>
      <c r="J163" s="15"/>
      <c r="K163" s="15"/>
      <c r="L163" s="23"/>
    </row>
    <row r="164" spans="2:12" x14ac:dyDescent="0.45">
      <c r="B164" s="22"/>
      <c r="C164" s="15" t="s">
        <v>192</v>
      </c>
      <c r="D164" s="15" t="s">
        <v>60</v>
      </c>
      <c r="E164" s="26">
        <f>IF(E163="A",3800,IF(E163="B",4200,5500))</f>
        <v>4200</v>
      </c>
      <c r="F164" s="15" t="s">
        <v>132</v>
      </c>
      <c r="G164" s="15"/>
      <c r="H164" s="15"/>
      <c r="I164" s="15"/>
      <c r="J164" s="15"/>
      <c r="K164" s="15"/>
      <c r="L164" s="23"/>
    </row>
    <row r="165" spans="2:12" x14ac:dyDescent="0.45">
      <c r="B165" s="22"/>
      <c r="C165" s="15" t="s">
        <v>190</v>
      </c>
      <c r="D165" s="15" t="s">
        <v>131</v>
      </c>
      <c r="E165" s="73">
        <v>16</v>
      </c>
      <c r="F165" s="15" t="s">
        <v>9</v>
      </c>
      <c r="G165" s="15"/>
      <c r="H165" s="15"/>
      <c r="I165" s="15"/>
      <c r="J165" s="15"/>
      <c r="K165" s="15"/>
      <c r="L165" s="23"/>
    </row>
    <row r="166" spans="2:12" x14ac:dyDescent="0.45">
      <c r="B166" s="22"/>
      <c r="C166" s="15" t="s">
        <v>191</v>
      </c>
      <c r="D166" s="15" t="s">
        <v>0</v>
      </c>
      <c r="E166" s="73">
        <v>65</v>
      </c>
      <c r="F166" s="15" t="s">
        <v>9</v>
      </c>
      <c r="G166" s="15"/>
      <c r="H166" s="15"/>
      <c r="I166" s="15"/>
      <c r="J166" s="15"/>
      <c r="K166" s="15"/>
      <c r="L166" s="23"/>
    </row>
    <row r="167" spans="2:12" x14ac:dyDescent="0.45">
      <c r="B167" s="22"/>
      <c r="C167" s="15"/>
      <c r="D167" s="15" t="s">
        <v>133</v>
      </c>
      <c r="E167" s="26" t="str">
        <f>IF(E166&gt;4*E165,"OK","Not OK")</f>
        <v>OK</v>
      </c>
      <c r="F167" s="15"/>
      <c r="G167" s="15"/>
      <c r="H167" s="15"/>
      <c r="I167" s="15"/>
      <c r="J167" s="15"/>
      <c r="K167" s="15"/>
      <c r="L167" s="23"/>
    </row>
    <row r="168" spans="2:12" x14ac:dyDescent="0.45">
      <c r="B168" s="22"/>
      <c r="C168" s="15"/>
      <c r="D168" s="15" t="s">
        <v>57</v>
      </c>
      <c r="E168" s="26" t="str">
        <f>IF(E165&lt;2.5*J85,"OK","Not OK")</f>
        <v>OK</v>
      </c>
      <c r="F168" s="15"/>
      <c r="G168" s="15"/>
      <c r="H168" s="15"/>
      <c r="I168" s="15"/>
      <c r="J168" s="15"/>
      <c r="K168" s="15"/>
      <c r="L168" s="23"/>
    </row>
    <row r="169" spans="2:12" x14ac:dyDescent="0.45">
      <c r="B169" s="22"/>
      <c r="C169" s="15"/>
      <c r="D169" s="15" t="s">
        <v>134</v>
      </c>
      <c r="E169" s="26" t="str">
        <f>IF(E14*10-E166&gt;25,"OK","Not OK")</f>
        <v>OK</v>
      </c>
      <c r="F169" s="15"/>
      <c r="G169" s="15"/>
      <c r="H169" s="15"/>
      <c r="I169" s="15"/>
      <c r="J169" s="15"/>
      <c r="K169" s="15"/>
      <c r="L169" s="23"/>
    </row>
    <row r="170" spans="2:12" x14ac:dyDescent="0.45">
      <c r="B170" s="22"/>
      <c r="C170" s="15"/>
      <c r="D170" s="15"/>
      <c r="E170" s="26"/>
      <c r="F170" s="15"/>
      <c r="G170" s="15"/>
      <c r="H170" s="15"/>
      <c r="I170" s="15"/>
      <c r="J170" s="15"/>
      <c r="K170" s="15"/>
      <c r="L170" s="23"/>
    </row>
    <row r="171" spans="2:12" x14ac:dyDescent="0.45">
      <c r="B171" s="22"/>
      <c r="C171" s="15"/>
      <c r="D171" s="15"/>
      <c r="E171" s="26"/>
      <c r="F171" s="15"/>
      <c r="G171" s="15"/>
      <c r="H171" s="15"/>
      <c r="I171" s="15"/>
      <c r="J171" s="15"/>
      <c r="K171" s="15"/>
      <c r="L171" s="23"/>
    </row>
    <row r="172" spans="2:12" x14ac:dyDescent="0.45">
      <c r="B172" s="22"/>
      <c r="C172" s="15"/>
      <c r="D172" s="15"/>
      <c r="E172" s="26"/>
      <c r="F172" s="15"/>
      <c r="G172" s="15"/>
      <c r="H172" s="15"/>
      <c r="I172" s="15"/>
      <c r="J172" s="15"/>
      <c r="K172" s="15"/>
      <c r="L172" s="23"/>
    </row>
    <row r="173" spans="2:12" x14ac:dyDescent="0.45">
      <c r="B173" s="22"/>
      <c r="C173" s="15"/>
      <c r="D173" s="15"/>
      <c r="E173" s="26"/>
      <c r="F173" s="15"/>
      <c r="G173" s="15"/>
      <c r="H173" s="15"/>
      <c r="I173" s="15"/>
      <c r="J173" s="15"/>
      <c r="K173" s="15"/>
      <c r="L173" s="23"/>
    </row>
    <row r="174" spans="2:12" x14ac:dyDescent="0.45">
      <c r="B174" s="22"/>
      <c r="C174" s="15"/>
      <c r="D174" s="15"/>
      <c r="E174" s="26"/>
      <c r="F174" s="15"/>
      <c r="G174" s="15"/>
      <c r="H174" s="15"/>
      <c r="I174" s="15"/>
      <c r="J174" s="15"/>
      <c r="K174" s="15"/>
      <c r="L174" s="23"/>
    </row>
    <row r="175" spans="2:12" x14ac:dyDescent="0.45">
      <c r="B175" s="22"/>
      <c r="C175" s="15"/>
      <c r="D175" s="15"/>
      <c r="E175" s="26"/>
      <c r="F175" s="15"/>
      <c r="G175" s="15"/>
      <c r="H175" s="15"/>
      <c r="I175" s="15"/>
      <c r="J175" s="15"/>
      <c r="K175" s="15"/>
      <c r="L175" s="23"/>
    </row>
    <row r="176" spans="2:12" x14ac:dyDescent="0.45">
      <c r="B176" s="22"/>
      <c r="C176" s="15"/>
      <c r="D176" s="15"/>
      <c r="E176" s="26"/>
      <c r="F176" s="15"/>
      <c r="G176" s="15"/>
      <c r="H176" s="15"/>
      <c r="I176" s="15"/>
      <c r="J176" s="15"/>
      <c r="K176" s="15"/>
      <c r="L176" s="23"/>
    </row>
    <row r="177" spans="2:12" x14ac:dyDescent="0.45">
      <c r="B177" s="22"/>
      <c r="C177" s="15"/>
      <c r="D177" s="15"/>
      <c r="E177" s="26"/>
      <c r="F177" s="15"/>
      <c r="G177" s="15"/>
      <c r="H177" s="15"/>
      <c r="I177" s="15"/>
      <c r="J177" s="15"/>
      <c r="K177" s="15"/>
      <c r="L177" s="23"/>
    </row>
    <row r="178" spans="2:12" x14ac:dyDescent="0.45">
      <c r="B178" s="22"/>
      <c r="C178" s="15"/>
      <c r="D178" s="15"/>
      <c r="E178" s="26"/>
      <c r="F178" s="15"/>
      <c r="G178" s="15"/>
      <c r="H178" s="15"/>
      <c r="I178" s="15"/>
      <c r="J178" s="15"/>
      <c r="K178" s="15"/>
      <c r="L178" s="23"/>
    </row>
    <row r="179" spans="2:12" x14ac:dyDescent="0.45">
      <c r="B179" s="22"/>
      <c r="C179" s="15"/>
      <c r="D179" s="15"/>
      <c r="E179" s="26"/>
      <c r="F179" s="15"/>
      <c r="G179" s="15"/>
      <c r="H179" s="15"/>
      <c r="I179" s="15"/>
      <c r="J179" s="15"/>
      <c r="K179" s="15"/>
      <c r="L179" s="23"/>
    </row>
    <row r="180" spans="2:12" x14ac:dyDescent="0.45">
      <c r="B180" s="22"/>
      <c r="C180" s="15" t="s">
        <v>194</v>
      </c>
      <c r="D180" s="15" t="s">
        <v>193</v>
      </c>
      <c r="E180" s="66">
        <f>3.14*(E165/10)^2/4</f>
        <v>2.0096000000000003</v>
      </c>
      <c r="F180" s="15" t="s">
        <v>17</v>
      </c>
      <c r="G180" s="15"/>
      <c r="H180" s="15"/>
      <c r="I180" s="15"/>
      <c r="J180" s="15"/>
      <c r="K180" s="15"/>
      <c r="L180" s="23"/>
    </row>
    <row r="181" spans="2:12" x14ac:dyDescent="0.45">
      <c r="B181" s="22"/>
      <c r="C181" s="15"/>
      <c r="D181" s="15" t="s">
        <v>187</v>
      </c>
      <c r="E181" s="73">
        <v>1</v>
      </c>
      <c r="F181" s="15"/>
      <c r="G181" s="15"/>
      <c r="H181" s="15"/>
      <c r="I181" s="15"/>
      <c r="J181" s="15"/>
      <c r="K181" s="15"/>
      <c r="L181" s="23"/>
    </row>
    <row r="182" spans="2:12" x14ac:dyDescent="0.45">
      <c r="B182" s="22"/>
      <c r="C182" s="15"/>
      <c r="D182" s="15" t="s">
        <v>61</v>
      </c>
      <c r="E182" s="73">
        <v>0.75</v>
      </c>
      <c r="F182" s="15"/>
      <c r="G182" s="15"/>
      <c r="H182" s="15"/>
      <c r="I182" s="15"/>
      <c r="J182" s="15"/>
      <c r="K182" s="15"/>
      <c r="L182" s="23"/>
    </row>
    <row r="183" spans="2:12" x14ac:dyDescent="0.45">
      <c r="B183" s="22"/>
      <c r="C183" s="15"/>
      <c r="D183" s="15"/>
      <c r="E183" s="15"/>
      <c r="F183" s="98" t="s">
        <v>234</v>
      </c>
      <c r="G183" s="96"/>
      <c r="H183" s="91"/>
      <c r="I183" s="97"/>
      <c r="J183" s="97"/>
      <c r="K183" s="15" t="s">
        <v>230</v>
      </c>
      <c r="L183" s="23"/>
    </row>
    <row r="184" spans="2:12" x14ac:dyDescent="0.45">
      <c r="B184" s="22"/>
      <c r="C184" s="15"/>
      <c r="D184" s="15"/>
      <c r="E184" s="15"/>
      <c r="F184" s="98" t="s">
        <v>235</v>
      </c>
      <c r="G184" s="96"/>
      <c r="H184" s="91"/>
      <c r="I184" s="97"/>
      <c r="J184" s="97"/>
      <c r="K184" s="15"/>
      <c r="L184" s="23"/>
    </row>
    <row r="185" spans="2:12" x14ac:dyDescent="0.45">
      <c r="B185" s="22"/>
      <c r="C185" s="15"/>
      <c r="D185" s="15"/>
      <c r="E185" s="15"/>
      <c r="F185" s="98" t="s">
        <v>236</v>
      </c>
      <c r="G185" s="96"/>
      <c r="H185" s="91"/>
      <c r="I185" s="97"/>
      <c r="J185" s="97"/>
      <c r="K185" s="15"/>
      <c r="L185" s="23"/>
    </row>
    <row r="186" spans="2:12" x14ac:dyDescent="0.45">
      <c r="B186" s="22"/>
      <c r="C186" s="15" t="s">
        <v>237</v>
      </c>
      <c r="D186" s="15"/>
      <c r="E186" s="26"/>
      <c r="F186" s="15"/>
      <c r="G186" s="15"/>
      <c r="H186" s="15"/>
      <c r="I186" s="15"/>
      <c r="J186" s="15"/>
      <c r="K186" s="15"/>
      <c r="L186" s="23"/>
    </row>
    <row r="187" spans="2:12" x14ac:dyDescent="0.45">
      <c r="B187" s="22"/>
      <c r="C187" s="15"/>
      <c r="D187" s="15" t="s">
        <v>149</v>
      </c>
      <c r="E187" s="66">
        <f>0.5*E180*SQRT(E17*E18)</f>
        <v>9258.7163400665759</v>
      </c>
      <c r="F187" s="15" t="s">
        <v>64</v>
      </c>
      <c r="G187" s="26">
        <f>E181*E182*E180*E164</f>
        <v>6330.2400000000007</v>
      </c>
      <c r="H187" s="15"/>
      <c r="I187" s="15"/>
      <c r="J187" s="15"/>
      <c r="K187" s="15"/>
      <c r="L187" s="23"/>
    </row>
    <row r="188" spans="2:12" x14ac:dyDescent="0.45">
      <c r="B188" s="22"/>
      <c r="C188" s="15"/>
      <c r="D188" s="15" t="s">
        <v>150</v>
      </c>
      <c r="E188" s="68">
        <f>MIN(E187,G187)</f>
        <v>6330.2400000000007</v>
      </c>
      <c r="F188" s="15" t="s">
        <v>141</v>
      </c>
      <c r="G188" s="15"/>
      <c r="H188" s="79"/>
      <c r="I188" s="79"/>
      <c r="J188" s="15"/>
      <c r="K188" s="79" t="s">
        <v>139</v>
      </c>
      <c r="L188" s="77"/>
    </row>
    <row r="189" spans="2:12" x14ac:dyDescent="0.45">
      <c r="B189" s="22"/>
      <c r="C189" s="15"/>
      <c r="D189" s="15" t="s">
        <v>136</v>
      </c>
      <c r="E189" s="26">
        <f>MIN(E107,E106)</f>
        <v>129120</v>
      </c>
      <c r="F189" s="15" t="s">
        <v>141</v>
      </c>
      <c r="G189" s="15"/>
      <c r="H189" s="79"/>
      <c r="I189" s="79"/>
      <c r="J189" s="15"/>
      <c r="K189" s="79" t="s">
        <v>138</v>
      </c>
      <c r="L189" s="77"/>
    </row>
    <row r="190" spans="2:12" x14ac:dyDescent="0.45">
      <c r="B190" s="22"/>
      <c r="C190" s="15"/>
      <c r="D190" s="15"/>
      <c r="E190" s="26"/>
      <c r="F190" s="15"/>
      <c r="G190" s="15"/>
      <c r="H190" s="79"/>
      <c r="I190" s="79"/>
      <c r="J190" s="79"/>
      <c r="K190" s="79"/>
      <c r="L190" s="77"/>
    </row>
    <row r="191" spans="2:12" x14ac:dyDescent="0.45">
      <c r="B191" s="22"/>
      <c r="C191" s="15"/>
      <c r="D191" s="15"/>
      <c r="E191" s="26"/>
      <c r="F191" s="15"/>
      <c r="G191" s="15"/>
      <c r="H191" s="79"/>
      <c r="I191" s="79"/>
      <c r="J191" s="79"/>
      <c r="K191" s="79"/>
      <c r="L191" s="77"/>
    </row>
    <row r="192" spans="2:12" x14ac:dyDescent="0.45">
      <c r="B192" s="22"/>
      <c r="C192" s="15"/>
      <c r="D192" s="15" t="s">
        <v>65</v>
      </c>
      <c r="E192" s="67">
        <f>E189/E188*2</f>
        <v>40.794661813770091</v>
      </c>
      <c r="F192" s="15"/>
      <c r="G192" s="15"/>
      <c r="H192" s="79"/>
      <c r="I192" s="79"/>
      <c r="J192" s="80"/>
      <c r="K192" s="79" t="s">
        <v>137</v>
      </c>
      <c r="L192" s="77"/>
    </row>
    <row r="193" spans="2:12" x14ac:dyDescent="0.45">
      <c r="B193" s="22"/>
      <c r="C193" s="15"/>
      <c r="D193" s="15" t="s">
        <v>140</v>
      </c>
      <c r="E193" s="29">
        <f>E21*100/E192</f>
        <v>17.159107806691452</v>
      </c>
      <c r="F193" s="15" t="s">
        <v>11</v>
      </c>
      <c r="G193" s="15"/>
      <c r="H193" s="79"/>
      <c r="I193" s="79"/>
      <c r="J193" s="80"/>
      <c r="K193" s="79" t="s">
        <v>229</v>
      </c>
      <c r="L193" s="77"/>
    </row>
    <row r="194" spans="2:12" x14ac:dyDescent="0.45">
      <c r="B194" s="22"/>
      <c r="C194" s="15"/>
      <c r="D194" s="15"/>
      <c r="E194" s="26"/>
      <c r="F194" s="15"/>
      <c r="G194" s="15"/>
      <c r="H194" s="15"/>
      <c r="I194" s="15"/>
      <c r="J194" s="15"/>
      <c r="K194" s="15"/>
      <c r="L194" s="23"/>
    </row>
    <row r="195" spans="2:12" ht="20.25" thickBot="1" x14ac:dyDescent="0.55000000000000004">
      <c r="B195" s="22"/>
      <c r="C195" s="110" t="s">
        <v>143</v>
      </c>
      <c r="D195" s="110"/>
      <c r="E195" s="55"/>
      <c r="F195" s="56"/>
      <c r="G195" s="56"/>
      <c r="H195" s="56"/>
      <c r="I195" s="56"/>
      <c r="J195" s="56"/>
      <c r="K195" s="15"/>
      <c r="L195" s="23"/>
    </row>
    <row r="196" spans="2:12" x14ac:dyDescent="0.45">
      <c r="B196" s="22"/>
      <c r="C196" s="15"/>
      <c r="D196" s="15"/>
      <c r="E196" s="26"/>
      <c r="F196" s="15"/>
      <c r="G196" s="15"/>
      <c r="H196" s="15"/>
      <c r="I196" s="15"/>
      <c r="J196" s="15"/>
      <c r="K196" s="15"/>
      <c r="L196" s="23"/>
    </row>
    <row r="197" spans="2:12" x14ac:dyDescent="0.45">
      <c r="B197" s="22"/>
      <c r="C197" s="15"/>
      <c r="D197" s="70" t="s">
        <v>144</v>
      </c>
      <c r="E197" s="40" t="s">
        <v>0</v>
      </c>
      <c r="F197" s="70" t="s">
        <v>1</v>
      </c>
      <c r="G197" s="70" t="s">
        <v>145</v>
      </c>
      <c r="H197" s="70" t="s">
        <v>146</v>
      </c>
      <c r="I197" s="70" t="s">
        <v>147</v>
      </c>
      <c r="J197" s="15"/>
      <c r="K197" s="15"/>
      <c r="L197" s="23"/>
    </row>
    <row r="198" spans="2:12" x14ac:dyDescent="0.45">
      <c r="B198" s="22"/>
      <c r="C198" s="15"/>
      <c r="D198" s="70"/>
      <c r="E198" s="40">
        <v>60</v>
      </c>
      <c r="F198" s="70">
        <v>30</v>
      </c>
      <c r="G198" s="70"/>
      <c r="H198" s="70">
        <v>0.6</v>
      </c>
      <c r="I198" s="70">
        <v>0.6</v>
      </c>
      <c r="J198" s="15"/>
      <c r="K198" s="15"/>
      <c r="L198" s="23"/>
    </row>
    <row r="199" spans="2:12" x14ac:dyDescent="0.45">
      <c r="B199" s="22"/>
      <c r="C199" s="15"/>
      <c r="D199" s="12" t="s">
        <v>151</v>
      </c>
      <c r="E199" s="35">
        <v>60</v>
      </c>
      <c r="F199" s="15" t="s">
        <v>9</v>
      </c>
      <c r="G199" s="15"/>
      <c r="H199" s="15"/>
      <c r="I199" s="15"/>
      <c r="J199" s="15"/>
      <c r="K199" s="79" t="s">
        <v>153</v>
      </c>
      <c r="L199" s="23"/>
    </row>
    <row r="200" spans="2:12" x14ac:dyDescent="0.45">
      <c r="B200" s="22"/>
      <c r="C200" s="15"/>
      <c r="D200" s="12" t="s">
        <v>152</v>
      </c>
      <c r="E200" s="35" t="str">
        <f>IF(E199&lt;D85/2,"OK","Not OK")</f>
        <v>OK</v>
      </c>
      <c r="F200" s="15"/>
      <c r="G200" s="15"/>
      <c r="H200" s="15"/>
      <c r="I200" s="15"/>
      <c r="J200" s="15"/>
      <c r="K200" s="79" t="s">
        <v>154</v>
      </c>
      <c r="L200" s="23"/>
    </row>
    <row r="201" spans="2:12" x14ac:dyDescent="0.45">
      <c r="B201" s="22"/>
      <c r="C201" s="15"/>
      <c r="D201" s="15" t="s">
        <v>148</v>
      </c>
      <c r="E201" s="26" t="str">
        <f>IF(E14*10-E198&gt;2.5,"OK","Not OK")</f>
        <v>OK</v>
      </c>
      <c r="F201" s="15"/>
      <c r="G201" s="15"/>
      <c r="H201" s="15"/>
      <c r="I201" s="15"/>
      <c r="J201" s="15"/>
      <c r="K201" s="79" t="s">
        <v>155</v>
      </c>
      <c r="L201" s="23"/>
    </row>
    <row r="202" spans="2:12" x14ac:dyDescent="0.45">
      <c r="B202" s="22"/>
      <c r="C202" s="15"/>
      <c r="D202" s="69" t="s">
        <v>149</v>
      </c>
      <c r="E202" s="29">
        <f>0.3*(H198+0.5*I198)*(E199/10)*SQRT(E17*E18)</f>
        <v>14927.468621524529</v>
      </c>
      <c r="F202" s="15" t="s">
        <v>141</v>
      </c>
      <c r="G202" s="15"/>
      <c r="H202" s="15"/>
      <c r="I202" s="15"/>
      <c r="J202" s="15"/>
      <c r="K202" s="79" t="s">
        <v>139</v>
      </c>
      <c r="L202" s="23"/>
    </row>
    <row r="203" spans="2:12" x14ac:dyDescent="0.45">
      <c r="B203" s="22"/>
      <c r="C203" s="15"/>
      <c r="D203" s="15" t="s">
        <v>136</v>
      </c>
      <c r="E203" s="29">
        <f>MIN(E107,E106)</f>
        <v>129120</v>
      </c>
      <c r="F203" s="15" t="s">
        <v>141</v>
      </c>
      <c r="G203" s="15"/>
      <c r="H203" s="15"/>
      <c r="I203" s="15"/>
      <c r="J203" s="15"/>
      <c r="K203" s="79" t="s">
        <v>138</v>
      </c>
      <c r="L203" s="23"/>
    </row>
    <row r="204" spans="2:12" x14ac:dyDescent="0.45">
      <c r="B204" s="22"/>
      <c r="C204" s="15"/>
      <c r="D204" s="15" t="s">
        <v>65</v>
      </c>
      <c r="E204" s="67">
        <f>E203/E202*2</f>
        <v>17.299651169765859</v>
      </c>
      <c r="F204" s="15"/>
      <c r="G204" s="15"/>
      <c r="H204" s="15"/>
      <c r="I204" s="15"/>
      <c r="J204" s="15"/>
      <c r="K204" s="79" t="s">
        <v>137</v>
      </c>
      <c r="L204" s="23"/>
    </row>
    <row r="205" spans="2:12" x14ac:dyDescent="0.45">
      <c r="B205" s="22"/>
      <c r="C205" s="15"/>
      <c r="D205" s="15" t="s">
        <v>140</v>
      </c>
      <c r="E205" s="67">
        <f>E21*100/E204</f>
        <v>40.463243630216745</v>
      </c>
      <c r="F205" s="15" t="s">
        <v>11</v>
      </c>
      <c r="G205" s="15"/>
      <c r="H205" s="15"/>
      <c r="I205" s="15"/>
      <c r="J205" s="15"/>
      <c r="K205" s="15"/>
      <c r="L205" s="23"/>
    </row>
    <row r="206" spans="2:12" x14ac:dyDescent="0.45">
      <c r="B206" s="22"/>
      <c r="C206" s="15"/>
      <c r="D206" s="15"/>
      <c r="E206" s="26"/>
      <c r="F206" s="15"/>
      <c r="G206" s="15"/>
      <c r="H206" s="15"/>
      <c r="I206" s="15"/>
      <c r="J206" s="15"/>
      <c r="K206" s="15"/>
      <c r="L206" s="23"/>
    </row>
    <row r="207" spans="2:12" x14ac:dyDescent="0.45">
      <c r="B207" s="22"/>
      <c r="C207" s="15"/>
      <c r="D207" s="15"/>
      <c r="E207" s="26"/>
      <c r="F207" s="15"/>
      <c r="G207" s="15"/>
      <c r="H207" s="15"/>
      <c r="I207" s="15"/>
      <c r="J207" s="15"/>
      <c r="K207" s="15"/>
      <c r="L207" s="23"/>
    </row>
    <row r="208" spans="2:12" ht="20.25" thickBot="1" x14ac:dyDescent="0.55000000000000004">
      <c r="B208" s="22"/>
      <c r="C208" s="110" t="s">
        <v>97</v>
      </c>
      <c r="D208" s="110"/>
      <c r="E208" s="55"/>
      <c r="F208" s="56"/>
      <c r="G208" s="56"/>
      <c r="H208" s="56"/>
      <c r="I208" s="56"/>
      <c r="J208" s="56"/>
      <c r="K208" s="15"/>
      <c r="L208" s="23"/>
    </row>
    <row r="209" spans="2:15" x14ac:dyDescent="0.45">
      <c r="B209" s="22"/>
      <c r="C209" s="15"/>
      <c r="D209" s="15"/>
      <c r="E209" s="26"/>
      <c r="F209" s="15"/>
      <c r="G209" s="15"/>
      <c r="H209" s="15"/>
      <c r="I209" s="15"/>
      <c r="J209" s="15"/>
      <c r="K209" s="15"/>
      <c r="L209" s="23"/>
    </row>
    <row r="210" spans="2:15" ht="19.5" x14ac:dyDescent="0.5">
      <c r="B210" s="22"/>
      <c r="C210" s="15"/>
      <c r="D210" s="52" t="s">
        <v>167</v>
      </c>
      <c r="E210" s="29">
        <f>(5*(E57/100)*(E21*100)^4)/(384*E12*H85)</f>
        <v>1.6333129817916008</v>
      </c>
      <c r="F210" s="15" t="s">
        <v>9</v>
      </c>
      <c r="G210" s="15" t="s">
        <v>64</v>
      </c>
      <c r="H210" s="63">
        <f>E21/360*1000</f>
        <v>19.444444444444446</v>
      </c>
      <c r="I210" s="15" t="s">
        <v>9</v>
      </c>
      <c r="J210" s="15"/>
      <c r="K210" s="15"/>
      <c r="L210" s="23"/>
    </row>
    <row r="211" spans="2:15" x14ac:dyDescent="0.45">
      <c r="B211" s="22"/>
      <c r="C211" s="15"/>
      <c r="D211" s="15"/>
      <c r="E211" s="26"/>
      <c r="F211" s="15"/>
      <c r="G211" s="15"/>
      <c r="H211" s="15"/>
      <c r="I211" s="15"/>
      <c r="J211" s="15"/>
      <c r="K211" s="15"/>
      <c r="L211" s="23"/>
    </row>
    <row r="212" spans="2:15" x14ac:dyDescent="0.45">
      <c r="B212" s="22"/>
      <c r="C212" s="55"/>
      <c r="D212" s="56"/>
      <c r="E212" s="56"/>
      <c r="F212" s="56"/>
      <c r="G212" s="56"/>
      <c r="H212" s="56"/>
      <c r="I212" s="55"/>
      <c r="J212" s="56"/>
      <c r="K212" s="15"/>
      <c r="L212" s="23"/>
    </row>
    <row r="213" spans="2:15" x14ac:dyDescent="0.45">
      <c r="B213" s="22"/>
      <c r="C213" s="15" t="s">
        <v>174</v>
      </c>
      <c r="D213" s="15" t="s">
        <v>65</v>
      </c>
      <c r="E213" s="66">
        <f>E12/E18</f>
        <v>7.4199032878894853</v>
      </c>
      <c r="F213" s="15"/>
      <c r="G213" s="15"/>
      <c r="H213" s="15"/>
      <c r="I213" s="15"/>
      <c r="J213" s="15"/>
      <c r="K213" s="15"/>
      <c r="L213" s="23"/>
    </row>
    <row r="214" spans="2:15" ht="18" customHeight="1" x14ac:dyDescent="0.45">
      <c r="B214" s="22"/>
      <c r="C214" s="15"/>
      <c r="D214" s="15"/>
      <c r="E214" s="120" t="s">
        <v>239</v>
      </c>
      <c r="F214" s="120"/>
      <c r="G214" s="120"/>
      <c r="H214" s="120"/>
      <c r="I214" s="120"/>
      <c r="J214" s="120"/>
      <c r="K214" s="121"/>
      <c r="L214" s="23" t="s">
        <v>230</v>
      </c>
    </row>
    <row r="215" spans="2:15" x14ac:dyDescent="0.45">
      <c r="B215" s="22"/>
      <c r="C215" s="15"/>
      <c r="D215" s="15"/>
      <c r="E215" s="122" t="s">
        <v>238</v>
      </c>
      <c r="F215" s="122"/>
      <c r="G215" s="122"/>
      <c r="H215" s="122"/>
      <c r="I215" s="122"/>
      <c r="J215" s="122"/>
      <c r="K215" s="123"/>
      <c r="L215" s="23"/>
    </row>
    <row r="216" spans="2:15" x14ac:dyDescent="0.45">
      <c r="B216" s="22"/>
      <c r="C216" s="15" t="s">
        <v>175</v>
      </c>
      <c r="D216" s="15" t="s">
        <v>156</v>
      </c>
      <c r="E216" s="66">
        <f>E29/(2*E213)</f>
        <v>20.215896916719242</v>
      </c>
      <c r="F216" s="15" t="s">
        <v>11</v>
      </c>
      <c r="G216" s="15"/>
      <c r="H216" s="15"/>
      <c r="I216" s="15"/>
      <c r="J216" s="15"/>
      <c r="K216" s="15"/>
      <c r="L216" s="23"/>
    </row>
    <row r="217" spans="2:15" x14ac:dyDescent="0.45">
      <c r="B217" s="22"/>
      <c r="C217" s="15" t="s">
        <v>176</v>
      </c>
      <c r="D217" s="15" t="s">
        <v>157</v>
      </c>
      <c r="E217" s="66">
        <f>(E216*E14*(E14/2+D85/10)+F85*D85/10)/(F85+E14*E216)</f>
        <v>33.949050307261203</v>
      </c>
      <c r="F217" s="15" t="s">
        <v>11</v>
      </c>
      <c r="G217" s="15"/>
      <c r="H217" s="15"/>
      <c r="I217" s="15"/>
      <c r="K217" s="79" t="str">
        <f>IF(E217&gt;D85/10,"تار خنثی در بتن است | PNA Located at Concrete","  |  PNA located at steelتار خنثی در فولاد است")</f>
        <v>تار خنثی در بتن است | PNA Located at Concrete</v>
      </c>
      <c r="L217" s="23"/>
      <c r="O217" s="12">
        <f>(E14+D85/10-E217)</f>
        <v>6.0509496927387971</v>
      </c>
    </row>
    <row r="218" spans="2:15" x14ac:dyDescent="0.45">
      <c r="B218" s="22"/>
      <c r="C218" s="15" t="s">
        <v>177</v>
      </c>
      <c r="D218" s="15" t="s">
        <v>159</v>
      </c>
      <c r="E218" s="66">
        <f>H85</f>
        <v>8360</v>
      </c>
      <c r="F218" s="15" t="s">
        <v>18</v>
      </c>
      <c r="G218" s="15"/>
      <c r="H218" s="15"/>
      <c r="I218" s="15"/>
      <c r="J218" s="15"/>
      <c r="K218" s="15"/>
      <c r="L218" s="23"/>
    </row>
    <row r="219" spans="2:15" x14ac:dyDescent="0.45">
      <c r="B219" s="22"/>
      <c r="C219" s="15" t="s">
        <v>178</v>
      </c>
      <c r="D219" s="15" t="s">
        <v>160</v>
      </c>
      <c r="E219" s="66">
        <f>O217^3*E216/12</f>
        <v>373.23502773556748</v>
      </c>
      <c r="F219" s="15" t="s">
        <v>18</v>
      </c>
      <c r="G219" s="15"/>
      <c r="H219" s="15"/>
      <c r="I219" s="15"/>
      <c r="J219" s="15"/>
      <c r="K219" s="15"/>
      <c r="L219" s="23"/>
    </row>
    <row r="220" spans="2:15" x14ac:dyDescent="0.45">
      <c r="B220" s="22"/>
      <c r="C220" s="15" t="s">
        <v>179</v>
      </c>
      <c r="D220" s="15" t="s">
        <v>161</v>
      </c>
      <c r="E220" s="66">
        <f>F85</f>
        <v>53.8</v>
      </c>
      <c r="F220" s="15" t="s">
        <v>17</v>
      </c>
      <c r="G220" s="15"/>
      <c r="H220" s="15"/>
      <c r="I220" s="15"/>
      <c r="J220" s="15"/>
      <c r="K220" s="15"/>
      <c r="L220" s="23"/>
    </row>
    <row r="221" spans="2:15" x14ac:dyDescent="0.45">
      <c r="B221" s="22"/>
      <c r="C221" s="15" t="s">
        <v>180</v>
      </c>
      <c r="D221" s="15" t="s">
        <v>162</v>
      </c>
      <c r="E221" s="66">
        <f>E216*O217</f>
        <v>122.32537523666149</v>
      </c>
      <c r="F221" s="15"/>
      <c r="G221" s="15"/>
      <c r="H221" s="15"/>
      <c r="I221" s="15"/>
      <c r="J221" s="15"/>
      <c r="K221" s="15"/>
      <c r="L221" s="23"/>
    </row>
    <row r="222" spans="2:15" x14ac:dyDescent="0.45">
      <c r="B222" s="22"/>
      <c r="C222" s="15" t="s">
        <v>181</v>
      </c>
      <c r="D222" s="15" t="s">
        <v>163</v>
      </c>
      <c r="E222" s="66">
        <f>E217-D85/20</f>
        <v>18.949050307261203</v>
      </c>
      <c r="F222" s="15"/>
      <c r="G222" s="15"/>
      <c r="H222" s="15"/>
      <c r="I222" s="15"/>
      <c r="J222" s="15"/>
      <c r="K222" s="15"/>
      <c r="L222" s="23"/>
    </row>
    <row r="223" spans="2:15" x14ac:dyDescent="0.45">
      <c r="B223" s="22"/>
      <c r="C223" s="15" t="s">
        <v>182</v>
      </c>
      <c r="D223" s="15" t="s">
        <v>164</v>
      </c>
      <c r="E223" s="66">
        <f>O217-E14/2</f>
        <v>1.0509496927387971</v>
      </c>
      <c r="F223" s="15"/>
      <c r="G223" s="15"/>
      <c r="H223" s="15"/>
      <c r="I223" s="15"/>
      <c r="J223" s="15"/>
      <c r="K223" s="15"/>
      <c r="L223" s="23"/>
    </row>
    <row r="224" spans="2:15" x14ac:dyDescent="0.45">
      <c r="B224" s="22"/>
      <c r="C224" s="15"/>
      <c r="D224" s="15"/>
      <c r="E224" s="66"/>
      <c r="F224" s="15"/>
      <c r="G224" s="15"/>
      <c r="H224" s="15"/>
      <c r="I224" s="15"/>
      <c r="J224" s="15"/>
      <c r="K224" s="15"/>
      <c r="L224" s="23"/>
    </row>
    <row r="225" spans="2:15" x14ac:dyDescent="0.45">
      <c r="B225" s="22"/>
      <c r="C225" s="15" t="s">
        <v>183</v>
      </c>
      <c r="D225" s="15" t="s">
        <v>158</v>
      </c>
      <c r="E225" s="66">
        <f>E218+E220*E222^2+E219+E221*E223^2</f>
        <v>28186.1209304894</v>
      </c>
      <c r="F225" s="15" t="s">
        <v>18</v>
      </c>
      <c r="G225" s="15"/>
      <c r="H225" s="15"/>
      <c r="I225" s="15"/>
      <c r="J225" s="15"/>
      <c r="K225" s="15"/>
      <c r="L225" s="23"/>
    </row>
    <row r="226" spans="2:15" x14ac:dyDescent="0.45">
      <c r="B226" s="22"/>
      <c r="C226" s="15" t="s">
        <v>240</v>
      </c>
      <c r="D226" s="15"/>
      <c r="E226" s="66"/>
      <c r="F226" s="15"/>
      <c r="G226" s="15"/>
      <c r="H226" s="15"/>
      <c r="I226" s="15"/>
      <c r="J226" s="15"/>
      <c r="K226" s="15"/>
      <c r="L226" s="23"/>
    </row>
    <row r="227" spans="2:15" x14ac:dyDescent="0.45">
      <c r="B227" s="22"/>
      <c r="C227" s="15"/>
      <c r="D227" s="15" t="s">
        <v>166</v>
      </c>
      <c r="E227" s="66">
        <f>5*E58/100*(E21*100)^4/(384*E12*E225)</f>
        <v>0.12940242609298369</v>
      </c>
      <c r="F227" s="15" t="s">
        <v>11</v>
      </c>
      <c r="G227" s="15"/>
      <c r="H227" s="15"/>
      <c r="I227" s="15"/>
      <c r="J227" s="15"/>
      <c r="K227" s="15"/>
      <c r="L227" s="23"/>
    </row>
    <row r="228" spans="2:15" x14ac:dyDescent="0.45">
      <c r="B228" s="22"/>
      <c r="C228" s="15"/>
      <c r="D228" s="15"/>
      <c r="E228" s="66"/>
      <c r="F228" s="15"/>
      <c r="G228" s="15"/>
      <c r="H228" s="15"/>
      <c r="I228" s="15"/>
      <c r="J228" s="15"/>
      <c r="K228" s="15"/>
      <c r="L228" s="23"/>
    </row>
    <row r="229" spans="2:15" x14ac:dyDescent="0.45">
      <c r="B229" s="22"/>
      <c r="C229" s="55"/>
      <c r="D229" s="56"/>
      <c r="E229" s="56"/>
      <c r="F229" s="56"/>
      <c r="G229" s="56"/>
      <c r="H229" s="56"/>
      <c r="I229" s="55"/>
      <c r="J229" s="56"/>
      <c r="K229" s="15"/>
      <c r="L229" s="23"/>
    </row>
    <row r="230" spans="2:15" x14ac:dyDescent="0.45">
      <c r="B230" s="22"/>
      <c r="C230" s="15"/>
      <c r="D230" s="15"/>
      <c r="E230" s="66"/>
      <c r="F230" s="15"/>
      <c r="G230" s="15"/>
      <c r="H230" s="15"/>
      <c r="I230" s="15"/>
      <c r="J230" s="15"/>
      <c r="K230" s="15"/>
      <c r="L230" s="23"/>
    </row>
    <row r="231" spans="2:15" x14ac:dyDescent="0.45">
      <c r="B231" s="22"/>
      <c r="C231" s="15" t="s">
        <v>174</v>
      </c>
      <c r="D231" s="15" t="s">
        <v>65</v>
      </c>
      <c r="E231" s="66">
        <f>E12/E18</f>
        <v>7.4199032878894853</v>
      </c>
      <c r="F231" s="15"/>
      <c r="G231" s="15"/>
      <c r="H231" s="15"/>
      <c r="I231" s="15"/>
      <c r="J231" s="15"/>
      <c r="K231" s="15"/>
      <c r="L231" s="23"/>
    </row>
    <row r="232" spans="2:15" x14ac:dyDescent="0.45">
      <c r="B232" s="22"/>
      <c r="C232" s="15" t="s">
        <v>175</v>
      </c>
      <c r="D232" s="15" t="s">
        <v>156</v>
      </c>
      <c r="E232" s="66">
        <f>E29/(E231)</f>
        <v>40.431793833438483</v>
      </c>
      <c r="F232" s="15" t="s">
        <v>11</v>
      </c>
      <c r="G232" s="15"/>
      <c r="H232" s="15"/>
      <c r="I232" s="15"/>
      <c r="J232" s="15"/>
      <c r="K232" s="15"/>
      <c r="L232" s="23"/>
    </row>
    <row r="233" spans="2:15" x14ac:dyDescent="0.45">
      <c r="B233" s="22"/>
      <c r="C233" s="15" t="s">
        <v>176</v>
      </c>
      <c r="D233" s="15" t="s">
        <v>157</v>
      </c>
      <c r="E233" s="66">
        <f>(E232*E14*(E14/2+D85/10)+F85*D85/10)/(F85+E14*E232)</f>
        <v>34.412814959881239</v>
      </c>
      <c r="F233" s="15" t="s">
        <v>11</v>
      </c>
      <c r="G233" s="15"/>
      <c r="H233" s="15"/>
      <c r="I233" s="15"/>
      <c r="K233" s="79" t="str">
        <f>IF(E233&gt;D104/10,"تار خنثی در بتن است | PNA Located at Concrete","  |  PNA located at steelتار خنثی در فولاد است")</f>
        <v>تار خنثی در بتن است | PNA Located at Concrete</v>
      </c>
      <c r="L233" s="23"/>
      <c r="O233" s="12">
        <f>(E14+D85/10-E233)</f>
        <v>5.5871850401187615</v>
      </c>
    </row>
    <row r="234" spans="2:15" x14ac:dyDescent="0.45">
      <c r="B234" s="22"/>
      <c r="C234" s="15" t="s">
        <v>177</v>
      </c>
      <c r="D234" s="15" t="s">
        <v>159</v>
      </c>
      <c r="E234" s="66">
        <f>H85</f>
        <v>8360</v>
      </c>
      <c r="F234" s="15" t="s">
        <v>18</v>
      </c>
      <c r="G234" s="15"/>
      <c r="H234" s="15"/>
      <c r="I234" s="15"/>
      <c r="J234" s="15"/>
      <c r="K234" s="15"/>
      <c r="L234" s="23"/>
    </row>
    <row r="235" spans="2:15" x14ac:dyDescent="0.45">
      <c r="B235" s="22"/>
      <c r="C235" s="15" t="s">
        <v>178</v>
      </c>
      <c r="D235" s="15" t="s">
        <v>160</v>
      </c>
      <c r="E235" s="66">
        <f>O233^3*E232/12</f>
        <v>587.6529607341248</v>
      </c>
      <c r="F235" s="15" t="s">
        <v>18</v>
      </c>
      <c r="G235" s="15"/>
      <c r="H235" s="15"/>
      <c r="I235" s="15"/>
      <c r="J235" s="15"/>
      <c r="K235" s="15"/>
      <c r="L235" s="23"/>
    </row>
    <row r="236" spans="2:15" x14ac:dyDescent="0.45">
      <c r="B236" s="22"/>
      <c r="C236" s="15" t="s">
        <v>179</v>
      </c>
      <c r="D236" s="15" t="s">
        <v>161</v>
      </c>
      <c r="E236" s="66">
        <f>F85</f>
        <v>53.8</v>
      </c>
      <c r="F236" s="15" t="s">
        <v>17</v>
      </c>
      <c r="G236" s="15"/>
      <c r="H236" s="15"/>
      <c r="I236" s="15"/>
      <c r="J236" s="15"/>
      <c r="K236" s="15"/>
      <c r="L236" s="23"/>
    </row>
    <row r="237" spans="2:15" x14ac:dyDescent="0.45">
      <c r="B237" s="22"/>
      <c r="C237" s="15" t="s">
        <v>180</v>
      </c>
      <c r="D237" s="15" t="s">
        <v>162</v>
      </c>
      <c r="E237" s="66">
        <f>E232*O233</f>
        <v>225.8999136513535</v>
      </c>
      <c r="F237" s="15"/>
      <c r="G237" s="15"/>
      <c r="H237" s="15"/>
      <c r="I237" s="15"/>
      <c r="J237" s="15"/>
      <c r="K237" s="15"/>
      <c r="L237" s="23"/>
    </row>
    <row r="238" spans="2:15" x14ac:dyDescent="0.45">
      <c r="B238" s="22"/>
      <c r="C238" s="15" t="s">
        <v>181</v>
      </c>
      <c r="D238" s="15" t="s">
        <v>163</v>
      </c>
      <c r="E238" s="66">
        <f>E233-D85/20</f>
        <v>19.412814959881239</v>
      </c>
      <c r="F238" s="15"/>
      <c r="G238" s="15"/>
      <c r="H238" s="15"/>
      <c r="I238" s="15"/>
      <c r="J238" s="15"/>
      <c r="K238" s="15"/>
      <c r="L238" s="23"/>
    </row>
    <row r="239" spans="2:15" x14ac:dyDescent="0.45">
      <c r="B239" s="22"/>
      <c r="C239" s="15" t="s">
        <v>182</v>
      </c>
      <c r="D239" s="15" t="s">
        <v>164</v>
      </c>
      <c r="E239" s="66">
        <f>O233-E14/2</f>
        <v>0.58718504011876149</v>
      </c>
      <c r="F239" s="15"/>
      <c r="G239" s="15"/>
      <c r="H239" s="15"/>
      <c r="I239" s="15"/>
      <c r="J239" s="15"/>
      <c r="K239" s="15"/>
      <c r="L239" s="23"/>
    </row>
    <row r="240" spans="2:15" x14ac:dyDescent="0.45">
      <c r="B240" s="22"/>
      <c r="C240" s="15"/>
      <c r="D240" s="15"/>
      <c r="E240" s="66"/>
      <c r="F240" s="15"/>
      <c r="G240" s="15"/>
      <c r="H240" s="15"/>
      <c r="I240" s="15"/>
      <c r="J240" s="15"/>
      <c r="K240" s="15"/>
      <c r="L240" s="23"/>
    </row>
    <row r="241" spans="2:12" x14ac:dyDescent="0.45">
      <c r="B241" s="22"/>
      <c r="C241" s="15" t="s">
        <v>183</v>
      </c>
      <c r="D241" s="15" t="s">
        <v>158</v>
      </c>
      <c r="E241" s="66">
        <f>E234+E236*E238^2+E235+E237*E239^2</f>
        <v>29300.467444720314</v>
      </c>
      <c r="F241" s="15" t="s">
        <v>18</v>
      </c>
      <c r="G241" s="15"/>
      <c r="H241" s="15"/>
      <c r="I241" s="15"/>
      <c r="J241" s="15"/>
      <c r="K241" s="15"/>
      <c r="L241" s="23"/>
    </row>
    <row r="242" spans="2:12" x14ac:dyDescent="0.45">
      <c r="B242" s="22"/>
      <c r="C242" s="15"/>
      <c r="D242" s="15"/>
      <c r="E242" s="66"/>
      <c r="F242" s="15"/>
      <c r="G242" s="15"/>
      <c r="H242" s="15"/>
      <c r="I242" s="15"/>
      <c r="J242" s="15"/>
      <c r="K242" s="15"/>
      <c r="L242" s="23"/>
    </row>
    <row r="243" spans="2:12" x14ac:dyDescent="0.45">
      <c r="B243" s="22"/>
      <c r="C243" s="15"/>
      <c r="D243" s="15" t="s">
        <v>165</v>
      </c>
      <c r="E243" s="66">
        <f>5*E59/100*(E21*100)^4/(384*E12*E241)</f>
        <v>0.35566009191168102</v>
      </c>
      <c r="F243" s="15" t="s">
        <v>11</v>
      </c>
      <c r="G243" s="15"/>
      <c r="H243" s="15"/>
      <c r="I243" s="15"/>
      <c r="J243" s="15"/>
      <c r="K243" s="15"/>
      <c r="L243" s="23"/>
    </row>
    <row r="244" spans="2:12" x14ac:dyDescent="0.45">
      <c r="B244" s="22"/>
      <c r="C244" s="55"/>
      <c r="D244" s="56"/>
      <c r="E244" s="56"/>
      <c r="F244" s="56"/>
      <c r="G244" s="56"/>
      <c r="H244" s="56"/>
      <c r="I244" s="55"/>
      <c r="J244" s="56"/>
      <c r="K244" s="15"/>
      <c r="L244" s="23"/>
    </row>
    <row r="245" spans="2:12" x14ac:dyDescent="0.45">
      <c r="B245" s="22"/>
      <c r="C245" s="15"/>
      <c r="D245" s="15"/>
      <c r="E245" s="66"/>
      <c r="F245" s="15"/>
      <c r="G245" s="15"/>
      <c r="H245" s="15"/>
      <c r="I245" s="15"/>
      <c r="J245" s="15"/>
      <c r="K245" s="15"/>
      <c r="L245" s="23"/>
    </row>
    <row r="246" spans="2:12" x14ac:dyDescent="0.45">
      <c r="B246" s="22"/>
      <c r="C246" s="15" t="s">
        <v>184</v>
      </c>
      <c r="D246" s="15" t="s">
        <v>168</v>
      </c>
      <c r="E246" s="66">
        <f>E243+E227+E210</f>
        <v>2.1183754997962656</v>
      </c>
      <c r="F246" s="15"/>
      <c r="G246" s="15"/>
      <c r="H246" s="15"/>
      <c r="I246" s="15"/>
      <c r="J246" s="15"/>
      <c r="K246" s="15"/>
      <c r="L246" s="23"/>
    </row>
    <row r="247" spans="2:12" x14ac:dyDescent="0.45">
      <c r="B247" s="22"/>
      <c r="C247" s="15"/>
      <c r="D247" s="15" t="s">
        <v>169</v>
      </c>
      <c r="E247" s="66">
        <f>E21*100/240</f>
        <v>2.9166666666666665</v>
      </c>
      <c r="F247" s="15"/>
      <c r="G247" s="15"/>
      <c r="H247" s="15"/>
      <c r="I247" s="15"/>
      <c r="J247" s="15"/>
      <c r="K247" s="15"/>
      <c r="L247" s="23"/>
    </row>
    <row r="248" spans="2:12" x14ac:dyDescent="0.45">
      <c r="B248" s="22"/>
      <c r="C248" s="15"/>
      <c r="D248" s="15"/>
      <c r="E248" s="87" t="str">
        <f>IF(E246&lt;E247,"PASS – Deflection less than allowable","Not OK, میبایست به وسیله پیش خیز یا مقطع بزرگتر ، خیز غیرمجاز را جبران کرد")</f>
        <v>PASS – Deflection less than allowable</v>
      </c>
      <c r="F248" s="15"/>
      <c r="G248" s="15"/>
      <c r="H248" s="15"/>
      <c r="I248" s="15"/>
      <c r="J248" s="15"/>
      <c r="K248" s="15"/>
      <c r="L248" s="23"/>
    </row>
    <row r="249" spans="2:12" x14ac:dyDescent="0.45">
      <c r="B249" s="22"/>
      <c r="C249" s="15"/>
      <c r="D249" s="15"/>
      <c r="E249" s="66"/>
      <c r="F249" s="15"/>
      <c r="G249" s="15"/>
      <c r="H249" s="15"/>
      <c r="I249" s="15"/>
      <c r="J249" s="15"/>
      <c r="K249" s="15"/>
      <c r="L249" s="77"/>
    </row>
    <row r="250" spans="2:12" x14ac:dyDescent="0.45">
      <c r="B250" s="22"/>
      <c r="C250" s="15"/>
      <c r="D250" s="15"/>
      <c r="E250" s="66"/>
      <c r="F250" s="15"/>
      <c r="G250" s="15"/>
      <c r="H250" s="15"/>
      <c r="I250" s="15"/>
      <c r="J250" s="15"/>
      <c r="K250" s="15"/>
      <c r="L250" s="23"/>
    </row>
    <row r="251" spans="2:12" ht="20.25" thickBot="1" x14ac:dyDescent="0.55000000000000004">
      <c r="B251" s="22"/>
      <c r="C251" s="110" t="s">
        <v>170</v>
      </c>
      <c r="D251" s="110"/>
      <c r="E251" s="55"/>
      <c r="F251" s="56"/>
      <c r="G251" s="56"/>
      <c r="H251" s="56"/>
      <c r="I251" s="56"/>
      <c r="J251" s="56"/>
      <c r="K251" s="15"/>
      <c r="L251" s="23"/>
    </row>
    <row r="252" spans="2:12" x14ac:dyDescent="0.45">
      <c r="B252" s="22"/>
      <c r="C252" s="15"/>
      <c r="D252" s="15"/>
      <c r="E252" s="66"/>
      <c r="F252" s="15"/>
      <c r="G252" s="15"/>
      <c r="H252" s="15"/>
      <c r="I252" s="15"/>
      <c r="J252" s="15"/>
      <c r="K252" s="15"/>
      <c r="L252" s="23"/>
    </row>
    <row r="253" spans="2:12" x14ac:dyDescent="0.45">
      <c r="B253" s="22"/>
      <c r="C253" s="15"/>
      <c r="D253" s="15" t="s">
        <v>171</v>
      </c>
      <c r="E253" s="57">
        <f>(D85/10+E14)/E21/100</f>
        <v>5.7142857142857141E-2</v>
      </c>
      <c r="F253" s="12" t="s">
        <v>206</v>
      </c>
      <c r="G253" s="88" t="str">
        <f>IF(E253&lt;=1/20,"OK","Not OK")</f>
        <v>Not OK</v>
      </c>
      <c r="H253" s="15"/>
      <c r="I253" s="15"/>
      <c r="J253" s="15"/>
      <c r="K253" s="15"/>
      <c r="L253" s="23"/>
    </row>
    <row r="254" spans="2:12" x14ac:dyDescent="0.45">
      <c r="B254" s="22"/>
      <c r="C254" s="15"/>
      <c r="D254" s="15" t="s">
        <v>172</v>
      </c>
      <c r="E254" s="71">
        <f>70*SQRT(E225/((E58+E59)*(E21*100)^4))*10000</f>
        <v>7.8019598525805893</v>
      </c>
      <c r="F254" s="15" t="s">
        <v>173</v>
      </c>
      <c r="G254" s="88" t="str">
        <f>IF(E254&gt;5,"OK","Not OK")</f>
        <v>OK</v>
      </c>
      <c r="H254" s="15"/>
      <c r="I254" s="15"/>
      <c r="J254" s="15"/>
      <c r="K254" s="15"/>
      <c r="L254" s="23"/>
    </row>
    <row r="255" spans="2:12" x14ac:dyDescent="0.45">
      <c r="B255" s="22"/>
      <c r="C255" s="15"/>
      <c r="D255" s="15"/>
      <c r="E255" s="66"/>
      <c r="F255" s="15"/>
      <c r="G255" s="15"/>
      <c r="H255" s="15"/>
      <c r="I255" s="15"/>
      <c r="J255" s="15"/>
      <c r="K255" s="15"/>
      <c r="L255" s="23"/>
    </row>
    <row r="256" spans="2:12" x14ac:dyDescent="0.45">
      <c r="B256" s="22"/>
      <c r="C256" s="15"/>
      <c r="D256" s="15"/>
      <c r="E256" s="66"/>
      <c r="F256" s="15"/>
      <c r="G256" s="15"/>
      <c r="H256" s="15"/>
      <c r="I256" s="15"/>
      <c r="J256" s="15"/>
      <c r="K256" s="15"/>
      <c r="L256" s="23"/>
    </row>
  </sheetData>
  <mergeCells count="34">
    <mergeCell ref="C251:D251"/>
    <mergeCell ref="G69:J69"/>
    <mergeCell ref="C90:D90"/>
    <mergeCell ref="C95:D95"/>
    <mergeCell ref="C104:D104"/>
    <mergeCell ref="C134:D134"/>
    <mergeCell ref="C160:D160"/>
    <mergeCell ref="G99:L100"/>
    <mergeCell ref="C101:K101"/>
    <mergeCell ref="E214:K214"/>
    <mergeCell ref="E215:K215"/>
    <mergeCell ref="C102:K102"/>
    <mergeCell ref="C88:K88"/>
    <mergeCell ref="C89:K89"/>
    <mergeCell ref="C195:D195"/>
    <mergeCell ref="C208:D208"/>
    <mergeCell ref="C67:D67"/>
    <mergeCell ref="G17:K17"/>
    <mergeCell ref="G18:K18"/>
    <mergeCell ref="C19:D19"/>
    <mergeCell ref="G21:K21"/>
    <mergeCell ref="G22:K22"/>
    <mergeCell ref="C52:D52"/>
    <mergeCell ref="G53:K53"/>
    <mergeCell ref="G54:K54"/>
    <mergeCell ref="C61:D61"/>
    <mergeCell ref="F26:K26"/>
    <mergeCell ref="F28:K28"/>
    <mergeCell ref="G15:K15"/>
    <mergeCell ref="C10:D10"/>
    <mergeCell ref="G11:K11"/>
    <mergeCell ref="G12:K12"/>
    <mergeCell ref="C13:D13"/>
    <mergeCell ref="G14:K14"/>
  </mergeCells>
  <dataValidations disablePrompts="1" count="2">
    <dataValidation type="list" allowBlank="1" showInputMessage="1" showErrorMessage="1" sqref="D23" xr:uid="{66F5B237-647C-471D-8989-BD5E3CBA8154}">
      <formula1>"Edge Beam , Middle Beam"</formula1>
    </dataValidation>
    <dataValidation type="list" allowBlank="1" showInputMessage="1" showErrorMessage="1" sqref="D85" xr:uid="{2FB15697-3488-4CBB-9547-4225583D1EBC}">
      <formula1>$N$74:$N$91</formula1>
    </dataValidation>
  </dataValidations>
  <printOptions horizontalCentered="1"/>
  <pageMargins left="0.2" right="0.2" top="0.75" bottom="0.75" header="0.3" footer="0.3"/>
  <pageSetup paperSize="9" scale="63" orientation="portrait" r:id="rId1"/>
  <rowBreaks count="2" manualBreakCount="2">
    <brk id="93" max="12" man="1"/>
    <brk id="19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</vt:lpstr>
      <vt:lpstr>IPE</vt:lpstr>
      <vt:lpstr>سقف عرشه فولادی (2)</vt:lpstr>
      <vt:lpstr>ipe</vt:lpstr>
      <vt:lpstr>'سقف عرشه فولادی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 khooyeh</cp:lastModifiedBy>
  <cp:lastPrinted>2023-08-20T22:50:58Z</cp:lastPrinted>
  <dcterms:created xsi:type="dcterms:W3CDTF">2015-04-19T03:27:23Z</dcterms:created>
  <dcterms:modified xsi:type="dcterms:W3CDTF">2024-12-05T16:18:36Z</dcterms:modified>
</cp:coreProperties>
</file>